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Drives compartilhados\SECRETARIA\SECRETARIA\2026\PROCESSO ADMINISTRATIVO\PROC. ADM. 61 - COBERTURA ESTACIONAMENTO FRONTAL\"/>
    </mc:Choice>
  </mc:AlternateContent>
  <xr:revisionPtr revIDLastSave="0" documentId="8_{74AF569F-892F-4A47-AFCF-F7411ABC63F6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Resumo" sheetId="1" r:id="rId1"/>
    <sheet name="Orçamento Sintético" sheetId="2" r:id="rId2"/>
    <sheet name="Cronograma" sheetId="6" r:id="rId3"/>
    <sheet name="Memória de Cálculo" sheetId="3" r:id="rId4"/>
    <sheet name="Planilha1" sheetId="8" state="hidden" r:id="rId5"/>
    <sheet name="BDI" sheetId="5" r:id="rId6"/>
    <sheet name="BDI (2)" sheetId="9" state="hidden" r:id="rId7"/>
    <sheet name="Fontes e Premissas" sheetId="7" state="hidden" r:id="rId8"/>
  </sheets>
  <definedNames>
    <definedName name="_xlnm.Print_Area" localSheetId="5">BDI!$A$1:$D$33</definedName>
    <definedName name="_xlnm.Print_Area" localSheetId="3">'Memória de Cálculo'!$A$1:$G$71</definedName>
    <definedName name="_xlnm.Print_Area" localSheetId="1">'Orçamento Sintético'!$A$1:$K$65</definedName>
    <definedName name="_xlnm.Print_Area" localSheetId="0">Resumo!$A$1:$H$44</definedName>
    <definedName name="_xlnm.Print_Titles" localSheetId="3">'Memória de Cálculo'!$1:$6</definedName>
    <definedName name="_xlnm.Print_Titles" localSheetId="1">'Orçamento Sintético'!$1:$7</definedName>
  </definedNames>
  <calcPr calcId="191029"/>
</workbook>
</file>

<file path=xl/calcChain.xml><?xml version="1.0" encoding="utf-8"?>
<calcChain xmlns="http://schemas.openxmlformats.org/spreadsheetml/2006/main">
  <c r="B27" i="9" l="1"/>
  <c r="B26" i="9"/>
  <c r="B25" i="9"/>
  <c r="B24" i="9"/>
  <c r="C10" i="9"/>
  <c r="B13" i="9" l="1"/>
  <c r="B28" i="9"/>
  <c r="B29" i="9" l="1"/>
  <c r="B30" i="9" s="1"/>
  <c r="E55" i="3"/>
  <c r="E56" i="3"/>
  <c r="I36" i="2" l="1"/>
  <c r="J36" i="2"/>
  <c r="K36" i="2"/>
  <c r="I37" i="2"/>
  <c r="J37" i="2"/>
  <c r="K37" i="2"/>
  <c r="I38" i="2"/>
  <c r="J38" i="2"/>
  <c r="K38" i="2" s="1"/>
  <c r="I39" i="2"/>
  <c r="J39" i="2"/>
  <c r="K39" i="2" s="1"/>
  <c r="I40" i="2"/>
  <c r="J40" i="2"/>
  <c r="K40" i="2"/>
  <c r="I41" i="2"/>
  <c r="J41" i="2"/>
  <c r="K41" i="2" s="1"/>
  <c r="I32" i="2"/>
  <c r="J32" i="2"/>
  <c r="K32" i="2"/>
  <c r="I33" i="2"/>
  <c r="J33" i="2"/>
  <c r="K33" i="2"/>
  <c r="I25" i="2"/>
  <c r="J25" i="2"/>
  <c r="K25" i="2"/>
  <c r="I26" i="2"/>
  <c r="J26" i="2"/>
  <c r="K26" i="2"/>
  <c r="I27" i="2"/>
  <c r="J27" i="2"/>
  <c r="K27" i="2" s="1"/>
  <c r="I28" i="2"/>
  <c r="J28" i="2"/>
  <c r="K28" i="2" s="1"/>
  <c r="I29" i="2"/>
  <c r="J29" i="2"/>
  <c r="K29" i="2" s="1"/>
  <c r="J24" i="2"/>
  <c r="K24" i="2" s="1"/>
  <c r="I24" i="2"/>
  <c r="I17" i="2"/>
  <c r="J17" i="2"/>
  <c r="K17" i="2" s="1"/>
  <c r="I18" i="2"/>
  <c r="J18" i="2"/>
  <c r="K18" i="2"/>
  <c r="I19" i="2"/>
  <c r="J19" i="2"/>
  <c r="K19" i="2" s="1"/>
  <c r="I20" i="2"/>
  <c r="J20" i="2"/>
  <c r="K20" i="2"/>
  <c r="I21" i="2"/>
  <c r="J21" i="2"/>
  <c r="K21" i="2"/>
  <c r="I22" i="2"/>
  <c r="J22" i="2"/>
  <c r="K22" i="2" s="1"/>
  <c r="I10" i="2"/>
  <c r="J10" i="2"/>
  <c r="K10" i="2"/>
  <c r="I11" i="2"/>
  <c r="J11" i="2"/>
  <c r="K11" i="2" s="1"/>
  <c r="I12" i="2"/>
  <c r="J12" i="2"/>
  <c r="K12" i="2" s="1"/>
  <c r="I13" i="2"/>
  <c r="J13" i="2"/>
  <c r="K13" i="2"/>
  <c r="I14" i="2"/>
  <c r="J14" i="2"/>
  <c r="K14" i="2" s="1"/>
  <c r="J16" i="2"/>
  <c r="K16" i="2" s="1"/>
  <c r="E8" i="6" s="1"/>
  <c r="I16" i="2"/>
  <c r="C18" i="1" l="1"/>
  <c r="C9" i="6"/>
  <c r="C19" i="1"/>
  <c r="C8" i="6"/>
  <c r="D8" i="6" s="1"/>
  <c r="J48" i="2"/>
  <c r="K48" i="2" s="1"/>
  <c r="I48" i="2"/>
  <c r="J46" i="2"/>
  <c r="K46" i="2" s="1"/>
  <c r="I46" i="2"/>
  <c r="J45" i="2"/>
  <c r="K45" i="2" s="1"/>
  <c r="I45" i="2"/>
  <c r="J44" i="2"/>
  <c r="K44" i="2" s="1"/>
  <c r="I44" i="2"/>
  <c r="J43" i="2"/>
  <c r="K43" i="2" s="1"/>
  <c r="I43" i="2"/>
  <c r="K35" i="2"/>
  <c r="J35" i="2"/>
  <c r="I35" i="2"/>
  <c r="J31" i="2"/>
  <c r="K31" i="2" s="1"/>
  <c r="I31" i="2"/>
  <c r="J9" i="2"/>
  <c r="K9" i="2" s="1"/>
  <c r="E7" i="6" s="1"/>
  <c r="I9" i="2"/>
  <c r="C21" i="1" l="1"/>
  <c r="C11" i="6"/>
  <c r="D11" i="6" s="1"/>
  <c r="E13" i="6"/>
  <c r="C23" i="1"/>
  <c r="C17" i="1"/>
  <c r="C7" i="6"/>
  <c r="C10" i="6"/>
  <c r="C20" i="1"/>
  <c r="C12" i="6"/>
  <c r="D12" i="6" s="1"/>
  <c r="C22" i="1"/>
  <c r="E10" i="6"/>
  <c r="I50" i="2"/>
  <c r="E9" i="6"/>
  <c r="E11" i="6"/>
  <c r="D9" i="6"/>
  <c r="E12" i="6"/>
  <c r="D10" i="6"/>
  <c r="K50" i="2"/>
  <c r="C21" i="5" l="1"/>
  <c r="C24" i="9"/>
  <c r="C31" i="9"/>
  <c r="C27" i="9"/>
  <c r="C26" i="9"/>
  <c r="C25" i="9"/>
  <c r="C28" i="9"/>
  <c r="C29" i="9" s="1"/>
  <c r="C30" i="9" s="1"/>
  <c r="C32" i="9" s="1"/>
  <c r="E6" i="1"/>
  <c r="M29" i="2"/>
  <c r="D7" i="6"/>
  <c r="E14" i="6"/>
  <c r="E8" i="1"/>
  <c r="E9" i="1" s="1"/>
  <c r="E7" i="1" l="1"/>
  <c r="E58" i="3" l="1"/>
  <c r="E57" i="3"/>
  <c r="E54" i="3"/>
  <c r="E53" i="3"/>
  <c r="E52" i="3"/>
  <c r="E51" i="3"/>
  <c r="E50" i="3"/>
  <c r="E49" i="3"/>
  <c r="E48" i="3"/>
  <c r="E47" i="3"/>
  <c r="E46" i="3"/>
  <c r="E44" i="3"/>
  <c r="E43" i="3"/>
  <c r="E42" i="3"/>
  <c r="E41" i="3"/>
  <c r="E40" i="3"/>
  <c r="E39" i="3"/>
  <c r="E38" i="3"/>
  <c r="E37" i="3"/>
  <c r="E36" i="3"/>
  <c r="E35" i="3"/>
  <c r="E31" i="3"/>
  <c r="E30" i="3"/>
  <c r="E29" i="3"/>
  <c r="E28" i="3"/>
  <c r="E27" i="3"/>
  <c r="E26" i="3"/>
  <c r="E22" i="3"/>
  <c r="E19" i="3"/>
  <c r="E18" i="3"/>
  <c r="E8" i="3"/>
  <c r="E10" i="3" s="1"/>
  <c r="C13" i="6"/>
  <c r="D13" i="6" s="1"/>
  <c r="C24" i="1"/>
  <c r="B20" i="5" l="1"/>
  <c r="C14" i="6"/>
  <c r="D14" i="6" s="1"/>
  <c r="C20" i="5" l="1"/>
</calcChain>
</file>

<file path=xl/sharedStrings.xml><?xml version="1.0" encoding="utf-8"?>
<sst xmlns="http://schemas.openxmlformats.org/spreadsheetml/2006/main" count="760" uniqueCount="487">
  <si>
    <t>ORÇAMENTO-BASE PARA LICITAÇÃO - COBERTURA METÁLICA</t>
  </si>
  <si>
    <t>Identificação</t>
  </si>
  <si>
    <t>Indicador</t>
  </si>
  <si>
    <t>Valor</t>
  </si>
  <si>
    <t>Órgão</t>
  </si>
  <si>
    <t>Câmara Municipal de Jambeiro/SP</t>
  </si>
  <si>
    <t>Custo direto</t>
  </si>
  <si>
    <t>Objeto</t>
  </si>
  <si>
    <t>Execução de cobertura metálica frontal</t>
  </si>
  <si>
    <t>BDI</t>
  </si>
  <si>
    <t>Preço global</t>
  </si>
  <si>
    <t>Telhamento instalado</t>
  </si>
  <si>
    <t>82,97 m²</t>
  </si>
  <si>
    <t>Regime SINAPI</t>
  </si>
  <si>
    <t>Não desonerado</t>
  </si>
  <si>
    <t>Mês-base</t>
  </si>
  <si>
    <t>Julho/2026</t>
  </si>
  <si>
    <t>RESUMO POR ETAPA</t>
  </si>
  <si>
    <t>EAP</t>
  </si>
  <si>
    <t>Etapa</t>
  </si>
  <si>
    <t>Preço com BDI</t>
  </si>
  <si>
    <t>1</t>
  </si>
  <si>
    <t>FUNDAÇÕES</t>
  </si>
  <si>
    <t>2</t>
  </si>
  <si>
    <t>ESTRUTURA METÁLICA</t>
  </si>
  <si>
    <t>3</t>
  </si>
  <si>
    <t>COBERTURA, ARREMATES E LOGÍSTICA</t>
  </si>
  <si>
    <t>4</t>
  </si>
  <si>
    <t>DRENAGEM PLUVIAL</t>
  </si>
  <si>
    <t>5</t>
  </si>
  <si>
    <t>INSTALAÇÕES ELÉTRICAS E ILUMINAÇÃO</t>
  </si>
  <si>
    <t>6</t>
  </si>
  <si>
    <t>PROTEÇÃO, PINTURA E LIMPEZA</t>
  </si>
  <si>
    <t>7</t>
  </si>
  <si>
    <t>SEGURANÇA DO TRABALHO</t>
  </si>
  <si>
    <t>TOTAL</t>
  </si>
  <si>
    <t>Obra</t>
  </si>
  <si>
    <t>Cobertura metálica - Câmara Municipal de Jambeiro/SP</t>
  </si>
  <si>
    <t>SINAPI/SP 07/2026</t>
  </si>
  <si>
    <t>Regime</t>
  </si>
  <si>
    <t>Item</t>
  </si>
  <si>
    <t>Fonte</t>
  </si>
  <si>
    <t>Código</t>
  </si>
  <si>
    <t>Descrição do serviço</t>
  </si>
  <si>
    <t>Un.</t>
  </si>
  <si>
    <t>Quantidade</t>
  </si>
  <si>
    <t>Custo unit. s/ BDI</t>
  </si>
  <si>
    <t>Custo total s/ BDI</t>
  </si>
  <si>
    <t>Preço unit. c/ BDI</t>
  </si>
  <si>
    <t>Preço total c/ BDI</t>
  </si>
  <si>
    <t>Situação da fonte</t>
  </si>
  <si>
    <t>1. FUNDAÇÕES</t>
  </si>
  <si>
    <t>1.1</t>
  </si>
  <si>
    <t>SINAPI</t>
  </si>
  <si>
    <t>96523</t>
  </si>
  <si>
    <t>Escavação manual para blocos de fundação</t>
  </si>
  <si>
    <t>m³</t>
  </si>
  <si>
    <t>Validar SINAPI</t>
  </si>
  <si>
    <t>1.2</t>
  </si>
  <si>
    <t>100897</t>
  </si>
  <si>
    <t>Estaca escavada por trado manual Ø 25 cm, profundidade de 4,00 m, inclusive perfuração e limpeza do furo</t>
  </si>
  <si>
    <t>m</t>
  </si>
  <si>
    <t>Validar equivalência SINAPI</t>
  </si>
  <si>
    <t>1.3</t>
  </si>
  <si>
    <t>94965</t>
  </si>
  <si>
    <t>Concreto estrutural fck 25 MPa virado na obra em betoneira, inclusive dosagem, mistura, transporte interno, lançamento e adensamento nas fundações</t>
  </si>
  <si>
    <t>1.4</t>
  </si>
  <si>
    <t>96543</t>
  </si>
  <si>
    <t>Fornecimento, corte, dobra e montagem das armaduras CA-50 Ø10 e CA-60 Ø5 das estacas e blocos</t>
  </si>
  <si>
    <t>kg</t>
  </si>
  <si>
    <t>1.5</t>
  </si>
  <si>
    <t>96535</t>
  </si>
  <si>
    <t>Forma para bloco de fundação, montagem e desmontagem</t>
  </si>
  <si>
    <t>m²</t>
  </si>
  <si>
    <t>1.6</t>
  </si>
  <si>
    <t>93382</t>
  </si>
  <si>
    <t>Reaterro manual apiloado no entorno dos blocos</t>
  </si>
  <si>
    <t>2. ESTRUTURA METÁLICA</t>
  </si>
  <si>
    <t>2.1</t>
  </si>
  <si>
    <t>CPU</t>
  </si>
  <si>
    <t>CPU ajustada à meta; validar por 3 cotações</t>
  </si>
  <si>
    <t>2.2</t>
  </si>
  <si>
    <t>2.3</t>
  </si>
  <si>
    <t>2.4</t>
  </si>
  <si>
    <t>un</t>
  </si>
  <si>
    <t>2.5</t>
  </si>
  <si>
    <t>2.6</t>
  </si>
  <si>
    <t>CPU-018</t>
  </si>
  <si>
    <t>Sistema de chumbamento químico Ø 1/2 pol., com barra roscada, resina, perfuração, escovação e limpeza</t>
  </si>
  <si>
    <t>ponto</t>
  </si>
  <si>
    <t>2.7</t>
  </si>
  <si>
    <t>100719</t>
  </si>
  <si>
    <t>Soldagem e ligações de campo, mão de obra e equipamento, filete mínimo de 5 mm</t>
  </si>
  <si>
    <t>Validar equivalência</t>
  </si>
  <si>
    <t>3. COBERTURA, ARREMATES E LOGÍSTICA</t>
  </si>
  <si>
    <t>3.1</t>
  </si>
  <si>
    <t>3.2</t>
  </si>
  <si>
    <t>94216</t>
  </si>
  <si>
    <t>Parafusos autobrocantes com arruela de vedação EPDM e acessórios</t>
  </si>
  <si>
    <t>3.3</t>
  </si>
  <si>
    <t>3.4</t>
  </si>
  <si>
    <t>3.5</t>
  </si>
  <si>
    <t>3.6</t>
  </si>
  <si>
    <t>vb</t>
  </si>
  <si>
    <t>4. DRENAGEM PLUVIAL</t>
  </si>
  <si>
    <t>4.1</t>
  </si>
  <si>
    <t>89578</t>
  </si>
  <si>
    <t>4.2</t>
  </si>
  <si>
    <t>89590</t>
  </si>
  <si>
    <t>4.3</t>
  </si>
  <si>
    <t>cj</t>
  </si>
  <si>
    <t>5. INSTALAÇÕES ELÉTRICAS E ILUMINAÇÃO</t>
  </si>
  <si>
    <t>5.1</t>
  </si>
  <si>
    <t>5.2</t>
  </si>
  <si>
    <t>91940</t>
  </si>
  <si>
    <t>Caixa de passagem/derivação aparente com tampa</t>
  </si>
  <si>
    <t>5.3</t>
  </si>
  <si>
    <t>91924</t>
  </si>
  <si>
    <t>Cabo de cobre flexível antichama 1,5 mm² - fase e retorno</t>
  </si>
  <si>
    <t>5.4</t>
  </si>
  <si>
    <t>Cabo de cobre flexível antichama 1,5 mm² - neutro azul-claro</t>
  </si>
  <si>
    <t>5.5</t>
  </si>
  <si>
    <t>Cabo de cobre flexível antichama 1,5 mm² - proteção verde ou verde-amarelo</t>
  </si>
  <si>
    <t>5.6</t>
  </si>
  <si>
    <t>5.7</t>
  </si>
  <si>
    <t>Interruptor simples de uma tecla, 10 A, 250 V, instalado em ponto interno existente</t>
  </si>
  <si>
    <t>6. PROTEÇÃO, PINTURA E LIMPEZA</t>
  </si>
  <si>
    <t>6.1</t>
  </si>
  <si>
    <t>100721</t>
  </si>
  <si>
    <t>Preparação de superfície metálica, limpeza e remoção de carepas</t>
  </si>
  <si>
    <t>6.2</t>
  </si>
  <si>
    <t>100722</t>
  </si>
  <si>
    <t>Pintura de fundo anticorrosivo em estrutura metálica</t>
  </si>
  <si>
    <t>6.3</t>
  </si>
  <si>
    <t>100725</t>
  </si>
  <si>
    <t>Pintura de acabamento da estrutura metálica com esmalte sintético, em duas demãos, na cor a ser definida em conjunto com a Contratante</t>
  </si>
  <si>
    <t>6.4</t>
  </si>
  <si>
    <t>99814</t>
  </si>
  <si>
    <t>Limpeza final, retirada, acondicionamento e transporte interno dos resíduos gerados pelos serviços</t>
  </si>
  <si>
    <t>7. SEGURANÇA DO TRABALHO</t>
  </si>
  <si>
    <t>7.1</t>
  </si>
  <si>
    <t>97064</t>
  </si>
  <si>
    <t>Andaime/plataforma e proteção coletiva para trabalho em altura</t>
  </si>
  <si>
    <t>TOTAL GERAL DA LICITAÇÃO</t>
  </si>
  <si>
    <t>MEMÓRIA DE CÁLCULO DOS QUANTITATIVOS</t>
  </si>
  <si>
    <t>Ref.</t>
  </si>
  <si>
    <t>Elemento</t>
  </si>
  <si>
    <t>Expressão / critério</t>
  </si>
  <si>
    <t>Origem</t>
  </si>
  <si>
    <t>Observação</t>
  </si>
  <si>
    <t>M-01</t>
  </si>
  <si>
    <t>Dimensão informada pelo responsável</t>
  </si>
  <si>
    <t>M-02</t>
  </si>
  <si>
    <t>Comprimento inclinado</t>
  </si>
  <si>
    <t>RAIZ(7,50² + 0,80²)</t>
  </si>
  <si>
    <t>Geometria revisada</t>
  </si>
  <si>
    <t>Premissa: mantém queda frontal de 0,80 m</t>
  </si>
  <si>
    <t>M-03</t>
  </si>
  <si>
    <t>Inclinação resultante</t>
  </si>
  <si>
    <t>0,80 / 7,50 x 100</t>
  </si>
  <si>
    <t>%</t>
  </si>
  <si>
    <t>Deve ser confirmada quanto ao desempenho da telha</t>
  </si>
  <si>
    <t>M-04</t>
  </si>
  <si>
    <t>Área inclinada</t>
  </si>
  <si>
    <t>Cálculo</t>
  </si>
  <si>
    <t>M-05</t>
  </si>
  <si>
    <t>M-06</t>
  </si>
  <si>
    <t>Perfil U 100x50x2,65</t>
  </si>
  <si>
    <t>23 barras x 6,00 m x 4,16 kg/m</t>
  </si>
  <si>
    <t>Levantamento revisado</t>
  </si>
  <si>
    <t>138,00 m de compra; inclui margem para plano de corte</t>
  </si>
  <si>
    <t>M-07</t>
  </si>
  <si>
    <t>Cantoneira 1 pol. x 1/8 pol.</t>
  </si>
  <si>
    <t>33 barras x 6,00 m x 1,19 kg/m</t>
  </si>
  <si>
    <t>198,00 m de compra; laterais recalculadas para 7,50 m</t>
  </si>
  <si>
    <t>M-08</t>
  </si>
  <si>
    <t>Metalon 150x50x3,00</t>
  </si>
  <si>
    <t>3 barras x 6,00 m x 9,14 kg/m</t>
  </si>
  <si>
    <t>18,00 m de compra para 15,00 m líquidos</t>
  </si>
  <si>
    <t>M-09</t>
  </si>
  <si>
    <t>Perfil W150x13</t>
  </si>
  <si>
    <t>1 barra x 6,00 m x 13,00 kg/m</t>
  </si>
  <si>
    <t>Dois pilares de 3,00 m</t>
  </si>
  <si>
    <t>M-10</t>
  </si>
  <si>
    <t>Perfis metálicos para compra</t>
  </si>
  <si>
    <t>Barras comerciais para fabricação</t>
  </si>
  <si>
    <t>M-11</t>
  </si>
  <si>
    <t>Chapas-base 300x300x10</t>
  </si>
  <si>
    <t>2 x 0,30 x 0,30 x 0,010 x 7.850</t>
  </si>
  <si>
    <t>Detalhe da base</t>
  </si>
  <si>
    <t>M-12</t>
  </si>
  <si>
    <t>M-13</t>
  </si>
  <si>
    <t>8 pontos completos</t>
  </si>
  <si>
    <t>M-14</t>
  </si>
  <si>
    <t>Concreto das estacas</t>
  </si>
  <si>
    <t>2 x 0,20</t>
  </si>
  <si>
    <t>Tabela do projeto</t>
  </si>
  <si>
    <t>Estacas Ø25 cm x 4,00 m</t>
  </si>
  <si>
    <t>M-15</t>
  </si>
  <si>
    <t>Concreto dos blocos</t>
  </si>
  <si>
    <t>2 x 0,22</t>
  </si>
  <si>
    <t>Blocos de uma estaca</t>
  </si>
  <si>
    <t>M-16</t>
  </si>
  <si>
    <t>0,40 + 0,44</t>
  </si>
  <si>
    <t>M-17</t>
  </si>
  <si>
    <t>Aço Ø10 das estacas</t>
  </si>
  <si>
    <t>32,00 m x 0,617 kg/m</t>
  </si>
  <si>
    <t>Tabela de aço</t>
  </si>
  <si>
    <t>4 barras por estaca; 2 estacas</t>
  </si>
  <si>
    <t>M-18</t>
  </si>
  <si>
    <t>Aço Ø5 das estacas</t>
  </si>
  <si>
    <t>20,88 m x 0,154 kg/m</t>
  </si>
  <si>
    <t>18 estribos por estaca; 2 estacas</t>
  </si>
  <si>
    <t>M-19</t>
  </si>
  <si>
    <t>Aço Ø10 dos blocos</t>
  </si>
  <si>
    <t>Valor do quadro, com 10% e para 2 blocos</t>
  </si>
  <si>
    <t>CA-50</t>
  </si>
  <si>
    <t>M-20</t>
  </si>
  <si>
    <t>6 barras Ø10 x 12 m + 2 barras Ø5 x 12 m</t>
  </si>
  <si>
    <t>M-21</t>
  </si>
  <si>
    <t>Escavação dos blocos</t>
  </si>
  <si>
    <t>2 cavas x 0,60 m³</t>
  </si>
  <si>
    <t>M-22</t>
  </si>
  <si>
    <t>Formas dos blocos</t>
  </si>
  <si>
    <t>2 blocos x perímetro 2,40 m x altura 0,60 m</t>
  </si>
  <si>
    <t>M-23</t>
  </si>
  <si>
    <t>Reaterro dos blocos</t>
  </si>
  <si>
    <t>1,20 - 0,44</t>
  </si>
  <si>
    <t>M-24</t>
  </si>
  <si>
    <t>Extensão frontal</t>
  </si>
  <si>
    <t>M-25</t>
  </si>
  <si>
    <t>2 x 7,5425 + 11,00</t>
  </si>
  <si>
    <t>M-26</t>
  </si>
  <si>
    <t>Extensão do fechamento</t>
  </si>
  <si>
    <t>11,00 + 7,50 + 7,50</t>
  </si>
  <si>
    <t>Frente e duas laterais</t>
  </si>
  <si>
    <t>M-27</t>
  </si>
  <si>
    <t>Desenvolvimento da chapa</t>
  </si>
  <si>
    <t>0,80 + 0,05 + 0,05</t>
  </si>
  <si>
    <t>Critério de dobra</t>
  </si>
  <si>
    <t>Face de 80 cm com duas abas de 5 cm</t>
  </si>
  <si>
    <t>M-28</t>
  </si>
  <si>
    <t>Área desenvolvida líquida</t>
  </si>
  <si>
    <t>26,00 x 0,90</t>
  </si>
  <si>
    <t>Chapa lisa dobrada</t>
  </si>
  <si>
    <t>M-29</t>
  </si>
  <si>
    <t>M-30</t>
  </si>
  <si>
    <t>M-31</t>
  </si>
  <si>
    <t>M-33</t>
  </si>
  <si>
    <t>2 x 4,50</t>
  </si>
  <si>
    <t>M-34</t>
  </si>
  <si>
    <t>Margem adotada para trajeto e derivações</t>
  </si>
  <si>
    <t>M-35</t>
  </si>
  <si>
    <t>Rolo comercial com margem</t>
  </si>
  <si>
    <t>M-36</t>
  </si>
  <si>
    <t>M-37</t>
  </si>
  <si>
    <t>M-38</t>
  </si>
  <si>
    <t>M-39</t>
  </si>
  <si>
    <t>Uma tecla em ponto interno existente</t>
  </si>
  <si>
    <t>M-40</t>
  </si>
  <si>
    <t>COMPOSIÇÃO DO BDI - OBRA DE COBERTURA METÁLICA</t>
  </si>
  <si>
    <t>Componente</t>
  </si>
  <si>
    <t>Sigla</t>
  </si>
  <si>
    <t>Administração central</t>
  </si>
  <si>
    <t>AC</t>
  </si>
  <si>
    <t>Seguro e garantia</t>
  </si>
  <si>
    <t>S+G</t>
  </si>
  <si>
    <t>Risco</t>
  </si>
  <si>
    <t>R</t>
  </si>
  <si>
    <t>Despesas financeiras</t>
  </si>
  <si>
    <t>DF</t>
  </si>
  <si>
    <t>Lucro</t>
  </si>
  <si>
    <t>L</t>
  </si>
  <si>
    <t>Tributos (ISS/PIS/COFINS)</t>
  </si>
  <si>
    <t>T</t>
  </si>
  <si>
    <t>BDI adotado no orçamento</t>
  </si>
  <si>
    <t>Nota técnica</t>
  </si>
  <si>
    <t>Regime principal</t>
  </si>
  <si>
    <t>SINAPI/SP não desonerado</t>
  </si>
  <si>
    <t>Semana 1 / Pagamento 1</t>
  </si>
  <si>
    <t>Semana 2 / Pagamento 2</t>
  </si>
  <si>
    <t>Total</t>
  </si>
  <si>
    <t>TOTAL / PAGAMENTOS</t>
  </si>
  <si>
    <t>FONTES, PREMISSAS E CONDIÇÕES DE USO</t>
  </si>
  <si>
    <t>Tipo</t>
  </si>
  <si>
    <t>Referência</t>
  </si>
  <si>
    <t>Data-base</t>
  </si>
  <si>
    <t>Aplicação</t>
  </si>
  <si>
    <t>Status</t>
  </si>
  <si>
    <t>Link/arquivo</t>
  </si>
  <si>
    <t>Base oficial</t>
  </si>
  <si>
    <t>SINAPI - Caixa/IBGE</t>
  </si>
  <si>
    <t>07/2026</t>
  </si>
  <si>
    <t>Serviços usuais</t>
  </si>
  <si>
    <t>Conferir códigos e preços</t>
  </si>
  <si>
    <t>https://www.caixa.gov.br/</t>
  </si>
  <si>
    <t>Critério legal</t>
  </si>
  <si>
    <t>Decreto 7.983/2013</t>
  </si>
  <si>
    <t>Vigente</t>
  </si>
  <si>
    <t>Orçamento de referência</t>
  </si>
  <si>
    <t>Aplicável</t>
  </si>
  <si>
    <t>https://www.planalto.gov.br/ccivil_03/_ato2011-2014/2013/decreto/d7983.htm</t>
  </si>
  <si>
    <t>Acórdão TCU 2.622/2013 - Plenário</t>
  </si>
  <si>
    <t>Composição e faixas</t>
  </si>
  <si>
    <t>Revisar conforme edital</t>
  </si>
  <si>
    <t>https://pesquisa.apps.tcu.gov.br/</t>
  </si>
  <si>
    <t>Projeto</t>
  </si>
  <si>
    <t>COBERTURA - JAMBEIRO-Ajustado - R01.pdf</t>
  </si>
  <si>
    <t>21/09/2026</t>
  </si>
  <si>
    <t>Estrutura, fundações e geometria</t>
  </si>
  <si>
    <t>Analisado</t>
  </si>
  <si>
    <t>Arquivo do projeto</t>
  </si>
  <si>
    <t>COBERTURA - JAMBEIRO.dwg</t>
  </si>
  <si>
    <t>Arquivo editável de referência</t>
  </si>
  <si>
    <t>Recebido</t>
  </si>
  <si>
    <t>Levantamento</t>
  </si>
  <si>
    <t>Lista de materiais fornecida em imagem</t>
  </si>
  <si>
    <t>Conferência de perfis, bases e fundações</t>
  </si>
  <si>
    <t>Revisado</t>
  </si>
  <si>
    <t>Arquivo recebido</t>
  </si>
  <si>
    <t>Definição</t>
  </si>
  <si>
    <t>Informações fornecidas pelo responsável técnico</t>
  </si>
  <si>
    <t>Laterais 7,50 m; telha; calha; rufos; elétrica; E7018; discos</t>
  </si>
  <si>
    <t>Adotado</t>
  </si>
  <si>
    <t>Registro desta elaboração</t>
  </si>
  <si>
    <t>Mercado</t>
  </si>
  <si>
    <t>Cotações formais de fornecedores</t>
  </si>
  <si>
    <t>Itens especiais/CPU</t>
  </si>
  <si>
    <t>LIMITAÇÕES E PREMISSAS</t>
  </si>
  <si>
    <t>2. A pesquisa pública confirmou julho/2026 como referência disponível; os relatórios analíticos oficiais devem ser anexados ao processo administrativo.</t>
  </si>
  <si>
    <t>3. O orçamento considera fornecimento completo de materiais, mão de obra, equipamentos, transporte, montagem, testes, limpeza e encargos necessários ao objeto.</t>
  </si>
  <si>
    <t>4. Não compõem o orçamento: serviços preliminares; projeto executivo de fabricação/detalhamento; interligação das descidas à drenagem existente; disjuntor/adequação do quadro; aterramento/equipotencialização da estrutura.</t>
  </si>
  <si>
    <t>PLANILHA ORÇAMENTÁRIA SINTÉTICA</t>
  </si>
  <si>
    <t>CRONOGRAMA FÍSICO-FINANCEIRO</t>
  </si>
  <si>
    <t>Fabricação e instalação de tesoura (inteira ou meia) em aço, vãos maiores ou iguais a 6,0 m e menores ou iguais a 12,0 m, incluso içamento, exclusive pintura. AF_10/2025</t>
  </si>
  <si>
    <t>Chapa de aço grossa, ASTM A36, E= 3/8" (9,53MM) 74,69 kg/m²</t>
  </si>
  <si>
    <t>Disco de desbaste para metal ferroso em geral, com tres telas, 9 X 1/4 X 7/8" (228,6 X 6,4 X 22,2 MM)</t>
  </si>
  <si>
    <t>Disco de corte para metal com duas telas 12 X 1/8 X 3/4" (300 X 3,2 X 19,05 MM)</t>
  </si>
  <si>
    <t>Eletrodo revestido AWS - E7018, diametro igaul a 4,00 mm</t>
  </si>
  <si>
    <t>Telha termoisolante revestida em aço galvanizado, faces superior e inferior em telha trapedoizal, revestimento com espessura de 0,50mm com pre-pintura nas duas faces, nucleo em poliestireno (EPS) de 50mm</t>
  </si>
  <si>
    <t>Calha em chapa de aço galvanizado numero 24, corte de 25cm, incuso transporte vertical. AF_06/2026</t>
  </si>
  <si>
    <t>Rufo em chapa de aço galvanizado numero 24, corte de 25cm, incluso transporte vertical.AF_06/2026</t>
  </si>
  <si>
    <t>Chapa de aço galvanizada bitola GSG 24, E = 0,64 ((5,12 KG/M2)</t>
  </si>
  <si>
    <t>Transporte com caminhão carroceria 9T, em via urbana pavimentada, DMT ATÉ 30KM (UNIDADE: TXKM). AF_02/2026</t>
  </si>
  <si>
    <t>Tubo PVC, serie R, água pluvial, DN 75mm, fornecido e instalado em condutores verticais de aguas pluviais. AF_06/2022</t>
  </si>
  <si>
    <t>Joelho 90 graus, PVC, serie R, água pluvial, DN75mm, junta elastica, fornecido e instalado em condutores verticais de águas pluviais.</t>
  </si>
  <si>
    <t>Bocal PVC, para calha pluvial, diametro da saida entre 75 e 120mm, para drenagem pluvial.</t>
  </si>
  <si>
    <t>Eletroduo rigido soldavel, PVC, DN 25 mm (3/4") aparente - fornecimento e instalação</t>
  </si>
  <si>
    <t>Luminária tipo calha de sobrepor, com uma lâmpada tubular LED de 18 W, sem reator, fornecimento e instalação</t>
  </si>
  <si>
    <t>Preço por m² (82,97 m²)</t>
  </si>
  <si>
    <t>https://www.nikkeypar.com.br/construcao-civil#/categoria--construcao-civil-chumbadores</t>
  </si>
  <si>
    <t>Telha termoacústica EPS 50 mm</t>
  </si>
  <si>
    <t>Quantidade adotada no orçamento</t>
  </si>
  <si>
    <t>Orçamento — item 3.1</t>
  </si>
  <si>
    <t>Quantidade do item 3.1</t>
  </si>
  <si>
    <t>Chapas-base; total orçado em M-41</t>
  </si>
  <si>
    <t>Fabricação e instalação da estrutura</t>
  </si>
  <si>
    <t>Orçamento — item 2.1</t>
  </si>
  <si>
    <t>Quantidade do item 2.1</t>
  </si>
  <si>
    <t>Chumbamento químico Ø1/2</t>
  </si>
  <si>
    <t>Orçamento — item 2.3</t>
  </si>
  <si>
    <t>Quantidade do item 2.3</t>
  </si>
  <si>
    <t>Concreto fck 25 MPa</t>
  </si>
  <si>
    <t>Orçamento — item 1.3</t>
  </si>
  <si>
    <t>Quantidade do item 1.3</t>
  </si>
  <si>
    <t>Armaduras das fundações</t>
  </si>
  <si>
    <t>Orçamento — item 1.4</t>
  </si>
  <si>
    <t>Quantidade do item 1.4</t>
  </si>
  <si>
    <t>Orçamento — item 1.1</t>
  </si>
  <si>
    <t>Quantidade do item 1.1</t>
  </si>
  <si>
    <t>Orçamento — item 1.5</t>
  </si>
  <si>
    <t>Quantidade do item 1.5</t>
  </si>
  <si>
    <t>Orçamento — item 1.6</t>
  </si>
  <si>
    <t>Quantidade do item 1.6</t>
  </si>
  <si>
    <t>Calha galvanizada nº24, corte 25 cm</t>
  </si>
  <si>
    <t>Orçamento — item 3.3</t>
  </si>
  <si>
    <t>Quantidade do item 3.3</t>
  </si>
  <si>
    <t>Rufo galvanizado nº24, corte 25 cm</t>
  </si>
  <si>
    <t>Orçamento — item 3.4</t>
  </si>
  <si>
    <t>Quantidade do item 3.4</t>
  </si>
  <si>
    <t>Chapeamento galvanizado nº24</t>
  </si>
  <si>
    <t>23,40 × 1,10 = 25,74; compra: 28,00</t>
  </si>
  <si>
    <t>Orçamento — item 3.5</t>
  </si>
  <si>
    <t>Quantidade do item 3.5</t>
  </si>
  <si>
    <t>Eletrodo E7018 Ø4 mm</t>
  </si>
  <si>
    <t>Orçamento — item 2.4</t>
  </si>
  <si>
    <t>Quantidade do item 2.4</t>
  </si>
  <si>
    <t>Disco de corte 300 mm</t>
  </si>
  <si>
    <t>Orçamento — item 2.5</t>
  </si>
  <si>
    <t>Quantidade do item 2.5</t>
  </si>
  <si>
    <t>M-32</t>
  </si>
  <si>
    <t>Condutor pluvial DN75</t>
  </si>
  <si>
    <t>Orçamento — item 4.1</t>
  </si>
  <si>
    <t>Quantidade do item 4.1</t>
  </si>
  <si>
    <t>Eletroduto PVC aparente DN25</t>
  </si>
  <si>
    <t>Orçamento — item 5.1</t>
  </si>
  <si>
    <t>Quantidade do item 5.1</t>
  </si>
  <si>
    <t>Cabo 1,5 mm² — fase/retorno</t>
  </si>
  <si>
    <t>Orçamento — item 5.3</t>
  </si>
  <si>
    <t>Quantidade do item 5.3</t>
  </si>
  <si>
    <t>Cabo 1,5 mm² — neutro</t>
  </si>
  <si>
    <t>Orçamento — item 5.4</t>
  </si>
  <si>
    <t>Quantidade do item 5.4</t>
  </si>
  <si>
    <t>Cabo 1,5 mm² — proteção</t>
  </si>
  <si>
    <t>Orçamento — item 5.5</t>
  </si>
  <si>
    <t>Quantidade do item 5.5</t>
  </si>
  <si>
    <t>Luminária calha LED tubular 18 W</t>
  </si>
  <si>
    <t>Orçamento — item 5.6</t>
  </si>
  <si>
    <t>Quantidade do item 5.6</t>
  </si>
  <si>
    <t>Interruptor simples 10 A / 250 V</t>
  </si>
  <si>
    <t>Orçamento — item 5.7</t>
  </si>
  <si>
    <t>Quantidade do item 5.7</t>
  </si>
  <si>
    <t>Preparação da superfície metálica</t>
  </si>
  <si>
    <t>Orçamento — item 6.1</t>
  </si>
  <si>
    <t>Quantidade do item 6.1</t>
  </si>
  <si>
    <t>Estacas Ø25 cm × 4 m</t>
  </si>
  <si>
    <t>Orçamento — item 1.2</t>
  </si>
  <si>
    <t>Quantidade do item 1.2</t>
  </si>
  <si>
    <t>M-41</t>
  </si>
  <si>
    <t>Chapa A36 de 9,53 mm</t>
  </si>
  <si>
    <t>Orçamento — item 2.2</t>
  </si>
  <si>
    <t>Quantidade do item 2.2</t>
  </si>
  <si>
    <t>M-42</t>
  </si>
  <si>
    <t>Disco de desbaste 228,6 mm</t>
  </si>
  <si>
    <t>Orçamento — item 2.6</t>
  </si>
  <si>
    <t>Quantidade do item 2.6</t>
  </si>
  <si>
    <t>M-43</t>
  </si>
  <si>
    <t>Soldagem e ligações de campo</t>
  </si>
  <si>
    <t>Orçamento — item 2.7</t>
  </si>
  <si>
    <t>Quantidade do item 2.7</t>
  </si>
  <si>
    <t>M-44</t>
  </si>
  <si>
    <t>Parafusos e acessórios EPDM</t>
  </si>
  <si>
    <t>Orçamento — item 3.2</t>
  </si>
  <si>
    <t>Quantidade do item 3.2</t>
  </si>
  <si>
    <t>M-45</t>
  </si>
  <si>
    <t>Transporte de materiais</t>
  </si>
  <si>
    <t>Orçamento — item 3.6</t>
  </si>
  <si>
    <t>Quantidade do item 3.6</t>
  </si>
  <si>
    <t>M-46</t>
  </si>
  <si>
    <t>Joelho 90° pluvial DN75</t>
  </si>
  <si>
    <t>Orçamento — item 4.2</t>
  </si>
  <si>
    <t>Quantidade do item 4.2</t>
  </si>
  <si>
    <t>M-47</t>
  </si>
  <si>
    <t>Bocal de calha 75–120 mm</t>
  </si>
  <si>
    <t>Orçamento — item 4.3</t>
  </si>
  <si>
    <t>Quantidade do item 4.3</t>
  </si>
  <si>
    <t>M-48</t>
  </si>
  <si>
    <t>Caixa de passagem com tampa</t>
  </si>
  <si>
    <t>Orçamento — item 5.2</t>
  </si>
  <si>
    <t>Quantidade do item 5.2</t>
  </si>
  <si>
    <t>M-49</t>
  </si>
  <si>
    <t>Fundo anticorrosivo</t>
  </si>
  <si>
    <t>Orçamento — item 6.2</t>
  </si>
  <si>
    <t>Quantidade do item 6.2</t>
  </si>
  <si>
    <t>M-50</t>
  </si>
  <si>
    <t>Esmalte sintético — duas demãos</t>
  </si>
  <si>
    <t>Orçamento — item 6.3</t>
  </si>
  <si>
    <t>Quantidade do item 6.3</t>
  </si>
  <si>
    <t>M-51</t>
  </si>
  <si>
    <t>Limpeza final e resíduos</t>
  </si>
  <si>
    <t>Orçamento — item 6.4</t>
  </si>
  <si>
    <t>Quantidade do item 6.4</t>
  </si>
  <si>
    <t>M-52</t>
  </si>
  <si>
    <t>Andaime e proteção coletiva</t>
  </si>
  <si>
    <t>Orçamento — item 7.1</t>
  </si>
  <si>
    <t>Quantidade do item 7.1</t>
  </si>
  <si>
    <t>BDI = [(1+AC+S+G+R)*(1+DF)*(1+L)/(1-T)]-1. Lucro calculado com precisão integral para BDI de 25,00%; demais parcelas mantidas. A soma simples das parcelas não representa o BDI.</t>
  </si>
  <si>
    <t>11,00 x 7,543</t>
  </si>
  <si>
    <t>TULIO CESAR GREGATE DOS SANTOS</t>
  </si>
  <si>
    <t>Engenheiro Civil</t>
  </si>
  <si>
    <t>Crea: 5062892020-SP</t>
  </si>
  <si>
    <t>Jambeiro, 24 de setembro de 2026</t>
  </si>
  <si>
    <t>Área inclinada da cobertura</t>
  </si>
  <si>
    <t>Área geométrica inclinada;</t>
  </si>
  <si>
    <t>574,08 + 235,62 + 128,8 + 78,00</t>
  </si>
  <si>
    <t>Ajuste de arredondamento do BDI</t>
  </si>
  <si>
    <t>Parâmetro da fórmula</t>
  </si>
  <si>
    <t>BDI — PARCELAS SOBRE O CUSTO DIRETO</t>
  </si>
  <si>
    <t>Parcela</t>
  </si>
  <si>
    <t>Participação efetiva</t>
  </si>
  <si>
    <t>Valor do BDI (R$)</t>
  </si>
  <si>
    <t>Tributos + arredondamento</t>
  </si>
  <si>
    <t>TOTAL DO BDI</t>
  </si>
  <si>
    <t>Custo direto de referência</t>
  </si>
  <si>
    <t>1. Esta planilha consolida o preço global de R$ 118.889,97</t>
  </si>
  <si>
    <t>Profundidade de 7,50 m do projeto</t>
  </si>
  <si>
    <t>BDI = [(1+AC+S+G+R)*(1+DF)*(1+L)/(1-T)]-1. Lucro calculado com precisão integral para BDI de 25,00%;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</si>
</sst>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\R\$\ #,##0.00"/>
  </numFmts>
  <fonts count="16">
    <font>
      <sz val="11"/>
      <name val="Carlito"/>
    </font>
    <font>
      <b/>
      <sz val="15"/>
      <color rgb="FF001840"/>
      <name val="Arial"/>
      <family val="2"/>
    </font>
    <font>
      <b/>
      <sz val="10"/>
      <color rgb="FFFFFFFF"/>
      <name val="Arial"/>
      <family val="2"/>
    </font>
    <font>
      <b/>
      <sz val="15"/>
      <color rgb="FF001840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5"/>
      <color theme="1" tint="0.249977111117893"/>
      <name val="Arial"/>
      <family val="2"/>
    </font>
    <font>
      <sz val="11"/>
      <name val="Calibri"/>
      <family val="2"/>
    </font>
    <font>
      <sz val="11"/>
      <color theme="1" tint="0.24988555558946501"/>
      <name val="Arial"/>
      <family val="2"/>
      <charset val="1"/>
    </font>
    <font>
      <sz val="10"/>
      <color theme="1" tint="0.249977111117893"/>
      <name val="Arial"/>
      <family val="2"/>
    </font>
    <font>
      <b/>
      <sz val="9"/>
      <color rgb="FF242424"/>
      <name val="Segoe UI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840"/>
      </patternFill>
    </fill>
    <fill>
      <patternFill patternType="solid">
        <fgColor rgb="FFE2F0D9"/>
      </patternFill>
    </fill>
    <fill>
      <patternFill patternType="solid">
        <fgColor rgb="FFEAF3F8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AEEF"/>
      </bottom>
      <diagonal/>
    </border>
    <border>
      <left/>
      <right style="thin">
        <color rgb="FFFFFFFF"/>
      </right>
      <top/>
      <bottom style="thin">
        <color rgb="FF001840"/>
      </bottom>
      <diagonal/>
    </border>
    <border>
      <left style="thin">
        <color rgb="FFFFFFFF"/>
      </left>
      <right style="thin">
        <color rgb="FFFFFFFF"/>
      </right>
      <top/>
      <bottom style="thin">
        <color rgb="FF001840"/>
      </bottom>
      <diagonal/>
    </border>
    <border>
      <left style="thin">
        <color rgb="FFFFFFFF"/>
      </left>
      <right/>
      <top/>
      <bottom style="thin">
        <color rgb="FF001840"/>
      </bottom>
      <diagonal/>
    </border>
    <border>
      <left style="medium">
        <color rgb="FF001840"/>
      </left>
      <right/>
      <top style="medium">
        <color rgb="FF001840"/>
      </top>
      <bottom style="medium">
        <color rgb="FF001840"/>
      </bottom>
      <diagonal/>
    </border>
    <border>
      <left/>
      <right style="medium">
        <color rgb="FF001840"/>
      </right>
      <top style="medium">
        <color rgb="FF001840"/>
      </top>
      <bottom style="medium">
        <color rgb="FF001840"/>
      </bottom>
      <diagonal/>
    </border>
    <border>
      <left/>
      <right/>
      <top/>
      <bottom style="thin">
        <color rgb="FF9FBAD0"/>
      </bottom>
      <diagonal/>
    </border>
    <border>
      <left/>
      <right/>
      <top style="medium">
        <color rgb="FF001840"/>
      </top>
      <bottom style="medium">
        <color rgb="FF00184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/>
    <xf numFmtId="0" fontId="7" fillId="3" borderId="5" xfId="0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10" fontId="7" fillId="4" borderId="0" xfId="0" applyNumberFormat="1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8" fillId="5" borderId="0" xfId="0" applyFont="1" applyFill="1" applyAlignment="1">
      <alignment vertical="center" wrapText="1"/>
    </xf>
    <xf numFmtId="164" fontId="5" fillId="2" borderId="8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4" fontId="8" fillId="0" borderId="0" xfId="0" applyNumberFormat="1" applyFont="1" applyAlignment="1">
      <alignment vertical="center" wrapText="1"/>
    </xf>
    <xf numFmtId="10" fontId="8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9" fillId="4" borderId="0" xfId="0" applyFont="1" applyFill="1" applyAlignment="1">
      <alignment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4" fontId="14" fillId="0" borderId="0" xfId="0" applyNumberFormat="1" applyFont="1"/>
    <xf numFmtId="44" fontId="4" fillId="0" borderId="0" xfId="0" applyNumberFormat="1" applyFont="1"/>
    <xf numFmtId="10" fontId="8" fillId="5" borderId="0" xfId="0" applyNumberFormat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0" fontId="7" fillId="3" borderId="6" xfId="0" applyNumberFormat="1" applyFont="1" applyFill="1" applyBorder="1" applyAlignment="1">
      <alignment vertical="center"/>
    </xf>
    <xf numFmtId="44" fontId="8" fillId="0" borderId="0" xfId="0" applyNumberFormat="1" applyFont="1"/>
    <xf numFmtId="164" fontId="0" fillId="0" borderId="0" xfId="0" applyNumberFormat="1"/>
    <xf numFmtId="4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4" borderId="7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</cellXfs>
  <cellStyles count="2">
    <cellStyle name="Normal" xfId="0" builtinId="0"/>
    <cellStyle name="Normal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0</xdr:row>
      <xdr:rowOff>165100</xdr:rowOff>
    </xdr:from>
    <xdr:to>
      <xdr:col>7</xdr:col>
      <xdr:colOff>193489</xdr:colOff>
      <xdr:row>0</xdr:row>
      <xdr:rowOff>1879599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165100"/>
          <a:ext cx="12509500" cy="1714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0</xdr:row>
      <xdr:rowOff>355600</xdr:rowOff>
    </xdr:from>
    <xdr:to>
      <xdr:col>9</xdr:col>
      <xdr:colOff>1333500</xdr:colOff>
      <xdr:row>0</xdr:row>
      <xdr:rowOff>2070099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" y="355600"/>
          <a:ext cx="12509500" cy="1714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182880</xdr:rowOff>
    </xdr:from>
    <xdr:to>
      <xdr:col>4</xdr:col>
      <xdr:colOff>1127760</xdr:colOff>
      <xdr:row>0</xdr:row>
      <xdr:rowOff>1196340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880"/>
          <a:ext cx="8061960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251460</xdr:rowOff>
    </xdr:from>
    <xdr:to>
      <xdr:col>6</xdr:col>
      <xdr:colOff>1431566</xdr:colOff>
      <xdr:row>1</xdr:row>
      <xdr:rowOff>91440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251460"/>
          <a:ext cx="8061960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253002</xdr:colOff>
      <xdr:row>3</xdr:row>
      <xdr:rowOff>152400</xdr:rowOff>
    </xdr:from>
    <xdr:to>
      <xdr:col>15</xdr:col>
      <xdr:colOff>487680</xdr:colOff>
      <xdr:row>14</xdr:row>
      <xdr:rowOff>45720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4682" y="678180"/>
          <a:ext cx="8281398" cy="1821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182881</xdr:colOff>
      <xdr:row>0</xdr:row>
      <xdr:rowOff>144780</xdr:rowOff>
    </xdr:from>
    <xdr:to>
      <xdr:col>2</xdr:col>
      <xdr:colOff>1188720</xdr:colOff>
      <xdr:row>0</xdr:row>
      <xdr:rowOff>1158240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1" y="144780"/>
          <a:ext cx="4968239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kkeypar.com.br/construcao-ci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840"/>
    <pageSetUpPr fitToPage="1"/>
  </sheetPr>
  <dimension ref="A1:H35"/>
  <sheetViews>
    <sheetView showGridLines="0" view="pageBreakPreview" zoomScale="85" zoomScaleNormal="70" zoomScaleSheetLayoutView="85" workbookViewId="0">
      <selection activeCell="E10" sqref="E10"/>
    </sheetView>
  </sheetViews>
  <sheetFormatPr defaultColWidth="8.6640625" defaultRowHeight="14"/>
  <cols>
    <col min="1" max="1" width="26" style="6" bestFit="1" customWidth="1"/>
    <col min="2" max="2" width="42" style="6" customWidth="1"/>
    <col min="3" max="3" width="20" style="6" customWidth="1"/>
    <col min="4" max="4" width="27" style="6" customWidth="1"/>
    <col min="5" max="8" width="19" style="6" customWidth="1"/>
    <col min="9" max="16384" width="8.6640625" style="6"/>
  </cols>
  <sheetData>
    <row r="1" spans="1:8" ht="179.4" customHeight="1"/>
    <row r="2" spans="1:8" ht="19">
      <c r="A2" s="59" t="s">
        <v>0</v>
      </c>
      <c r="B2" s="60"/>
      <c r="C2" s="60"/>
      <c r="D2" s="60"/>
      <c r="E2" s="60"/>
      <c r="F2" s="60"/>
      <c r="G2" s="60"/>
      <c r="H2" s="60"/>
    </row>
    <row r="3" spans="1:8">
      <c r="A3" s="7"/>
      <c r="B3" s="7"/>
      <c r="C3" s="7"/>
      <c r="D3" s="7"/>
      <c r="E3" s="7"/>
      <c r="F3" s="7"/>
      <c r="G3" s="7"/>
      <c r="H3" s="7"/>
    </row>
    <row r="4" spans="1:8">
      <c r="A4" s="8"/>
      <c r="B4" s="8"/>
      <c r="C4" s="8"/>
      <c r="D4" s="8"/>
      <c r="E4" s="8"/>
      <c r="F4" s="8"/>
      <c r="G4" s="8"/>
      <c r="H4" s="8"/>
    </row>
    <row r="5" spans="1:8">
      <c r="A5" s="9" t="s">
        <v>1</v>
      </c>
      <c r="B5" s="9"/>
      <c r="C5" s="8"/>
      <c r="D5" s="10" t="s">
        <v>2</v>
      </c>
      <c r="E5" s="11" t="s">
        <v>3</v>
      </c>
      <c r="F5" s="8"/>
      <c r="G5" s="8"/>
      <c r="H5" s="8"/>
    </row>
    <row r="6" spans="1:8" s="17" customFormat="1">
      <c r="A6" s="14" t="s">
        <v>4</v>
      </c>
      <c r="B6" s="15" t="s">
        <v>5</v>
      </c>
      <c r="C6" s="15"/>
      <c r="D6" s="15" t="s">
        <v>6</v>
      </c>
      <c r="E6" s="16">
        <f>'Orçamento Sintético'!I50</f>
        <v>95113.44</v>
      </c>
      <c r="F6" s="15"/>
      <c r="G6" s="15"/>
      <c r="H6" s="15"/>
    </row>
    <row r="7" spans="1:8" s="17" customFormat="1">
      <c r="A7" s="14" t="s">
        <v>7</v>
      </c>
      <c r="B7" s="15" t="s">
        <v>8</v>
      </c>
      <c r="C7" s="15"/>
      <c r="D7" s="15" t="s">
        <v>9</v>
      </c>
      <c r="E7" s="16">
        <f>E8-E6</f>
        <v>23786.53</v>
      </c>
      <c r="F7" s="15"/>
      <c r="G7" s="15"/>
      <c r="H7" s="15"/>
    </row>
    <row r="8" spans="1:8" s="17" customFormat="1">
      <c r="A8" s="14" t="s">
        <v>472</v>
      </c>
      <c r="B8" s="15" t="s">
        <v>12</v>
      </c>
      <c r="C8" s="15"/>
      <c r="D8" s="18" t="s">
        <v>10</v>
      </c>
      <c r="E8" s="19">
        <f>'Orçamento Sintético'!K50</f>
        <v>118899.97</v>
      </c>
      <c r="F8" s="15"/>
      <c r="G8" s="15"/>
      <c r="H8" s="15"/>
    </row>
    <row r="9" spans="1:8" s="17" customFormat="1">
      <c r="A9" s="14" t="s">
        <v>11</v>
      </c>
      <c r="B9" s="15" t="s">
        <v>12</v>
      </c>
      <c r="C9" s="15"/>
      <c r="D9" s="15" t="s">
        <v>349</v>
      </c>
      <c r="E9" s="16">
        <f>ROUND(E8/82.97,2)</f>
        <v>1433.05</v>
      </c>
      <c r="F9" s="15"/>
      <c r="G9" s="15"/>
      <c r="H9" s="15"/>
    </row>
    <row r="10" spans="1:8" s="17" customFormat="1">
      <c r="A10" s="14" t="s">
        <v>13</v>
      </c>
      <c r="B10" s="15" t="s">
        <v>14</v>
      </c>
      <c r="C10" s="15"/>
      <c r="D10" s="15"/>
      <c r="E10" s="15"/>
      <c r="F10" s="15"/>
      <c r="G10" s="15"/>
      <c r="H10" s="15"/>
    </row>
    <row r="11" spans="1:8" s="17" customFormat="1">
      <c r="A11" s="14" t="s">
        <v>15</v>
      </c>
      <c r="B11" s="15" t="s">
        <v>16</v>
      </c>
      <c r="C11" s="15"/>
      <c r="D11" s="15"/>
      <c r="E11" s="15"/>
      <c r="F11" s="15"/>
      <c r="G11" s="15"/>
      <c r="H11" s="15"/>
    </row>
    <row r="12" spans="1:8" s="17" customFormat="1">
      <c r="A12" s="14" t="s">
        <v>9</v>
      </c>
      <c r="B12" s="43">
        <v>0.25</v>
      </c>
      <c r="C12" s="15"/>
      <c r="D12" s="15"/>
      <c r="E12" s="15"/>
      <c r="F12" s="15"/>
      <c r="G12" s="15"/>
      <c r="H12" s="15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 s="17" customFormat="1">
      <c r="A15" s="52" t="s">
        <v>17</v>
      </c>
      <c r="B15" s="52"/>
      <c r="C15" s="52"/>
      <c r="D15" s="15"/>
      <c r="E15" s="62"/>
      <c r="F15" s="62"/>
      <c r="G15" s="62"/>
      <c r="H15" s="62"/>
    </row>
    <row r="16" spans="1:8" ht="28.25" customHeight="1">
      <c r="A16" s="10" t="s">
        <v>18</v>
      </c>
      <c r="B16" s="12" t="s">
        <v>19</v>
      </c>
      <c r="C16" s="11" t="s">
        <v>20</v>
      </c>
      <c r="D16" s="8"/>
      <c r="E16" s="63"/>
      <c r="F16" s="60"/>
      <c r="G16" s="60"/>
      <c r="H16" s="60"/>
    </row>
    <row r="17" spans="1:8" s="17" customFormat="1" ht="21.65" customHeight="1">
      <c r="A17" s="15" t="s">
        <v>21</v>
      </c>
      <c r="B17" s="15" t="s">
        <v>22</v>
      </c>
      <c r="C17" s="16">
        <f>ROUND(SUM('Orçamento Sintético'!K9:K14),2)</f>
        <v>3736.98</v>
      </c>
      <c r="D17" s="15"/>
      <c r="E17" s="53"/>
      <c r="F17" s="54"/>
      <c r="G17" s="54"/>
      <c r="H17" s="54"/>
    </row>
    <row r="18" spans="1:8" s="17" customFormat="1" ht="21.65" customHeight="1">
      <c r="A18" s="15" t="s">
        <v>23</v>
      </c>
      <c r="B18" s="15" t="s">
        <v>24</v>
      </c>
      <c r="C18" s="16">
        <f>ROUND(SUM('Orçamento Sintético'!K16:K22),2)</f>
        <v>53661.88</v>
      </c>
      <c r="D18" s="15"/>
      <c r="E18" s="53"/>
      <c r="F18" s="54"/>
      <c r="G18" s="54"/>
      <c r="H18" s="54"/>
    </row>
    <row r="19" spans="1:8" s="17" customFormat="1" ht="21.65" customHeight="1">
      <c r="A19" s="15" t="s">
        <v>25</v>
      </c>
      <c r="B19" s="15" t="s">
        <v>26</v>
      </c>
      <c r="C19" s="16">
        <f>ROUND(SUM('Orçamento Sintético'!K24:K29),2)</f>
        <v>44282.16</v>
      </c>
      <c r="D19" s="15"/>
      <c r="E19" s="53"/>
      <c r="F19" s="54"/>
      <c r="G19" s="54"/>
      <c r="H19" s="54"/>
    </row>
    <row r="20" spans="1:8" s="17" customFormat="1" ht="21.65" customHeight="1">
      <c r="A20" s="15" t="s">
        <v>27</v>
      </c>
      <c r="B20" s="15" t="s">
        <v>28</v>
      </c>
      <c r="C20" s="16">
        <f>ROUND(SUM('Orçamento Sintético'!K31:K33),2)</f>
        <v>1224.82</v>
      </c>
      <c r="D20" s="15"/>
      <c r="E20" s="53"/>
      <c r="F20" s="54"/>
      <c r="G20" s="54"/>
      <c r="H20" s="54"/>
    </row>
    <row r="21" spans="1:8" s="17" customFormat="1" ht="21.65" customHeight="1">
      <c r="A21" s="15" t="s">
        <v>29</v>
      </c>
      <c r="B21" s="15" t="s">
        <v>30</v>
      </c>
      <c r="C21" s="16">
        <f>ROUND(SUM('Orçamento Sintético'!K35:K41),2)</f>
        <v>3639.06</v>
      </c>
      <c r="D21" s="15"/>
      <c r="E21" s="53"/>
      <c r="F21" s="54"/>
      <c r="G21" s="54"/>
      <c r="H21" s="54"/>
    </row>
    <row r="22" spans="1:8" s="17" customFormat="1" ht="21.65" customHeight="1">
      <c r="A22" s="15" t="s">
        <v>31</v>
      </c>
      <c r="B22" s="15" t="s">
        <v>32</v>
      </c>
      <c r="C22" s="16">
        <f>ROUND(SUM('Orçamento Sintético'!K43:K46),2)</f>
        <v>9451.1200000000008</v>
      </c>
      <c r="D22" s="15"/>
      <c r="E22" s="15"/>
      <c r="F22" s="15"/>
      <c r="G22" s="15"/>
      <c r="H22" s="15"/>
    </row>
    <row r="23" spans="1:8" s="17" customFormat="1" ht="21.65" customHeight="1">
      <c r="A23" s="15" t="s">
        <v>33</v>
      </c>
      <c r="B23" s="15" t="s">
        <v>34</v>
      </c>
      <c r="C23" s="16">
        <f>ROUND(SUM('Orçamento Sintético'!K48),2)</f>
        <v>2903.95</v>
      </c>
      <c r="D23" s="15"/>
      <c r="E23" s="15"/>
      <c r="F23" s="15"/>
      <c r="G23" s="15"/>
      <c r="H23" s="15"/>
    </row>
    <row r="24" spans="1:8">
      <c r="A24" s="61" t="s">
        <v>35</v>
      </c>
      <c r="B24" s="61"/>
      <c r="C24" s="13">
        <f>ROUND(SUM(C17:C23)+C25,2)</f>
        <v>118899.97</v>
      </c>
      <c r="D24" s="8"/>
      <c r="E24" s="8"/>
      <c r="F24" s="8"/>
      <c r="G24" s="8"/>
      <c r="H24" s="8"/>
    </row>
    <row r="25" spans="1:8" ht="21.65" customHeight="1">
      <c r="B25" s="15"/>
      <c r="C25" s="16"/>
    </row>
    <row r="27" spans="1:8" ht="24" customHeight="1"/>
    <row r="28" spans="1:8" ht="24" customHeight="1">
      <c r="B28" s="58" t="s">
        <v>471</v>
      </c>
      <c r="C28" s="58"/>
    </row>
    <row r="33" spans="4:5">
      <c r="D33" s="56" t="s">
        <v>468</v>
      </c>
      <c r="E33" s="56"/>
    </row>
    <row r="34" spans="4:5">
      <c r="D34" s="57" t="s">
        <v>469</v>
      </c>
      <c r="E34" s="57"/>
    </row>
    <row r="35" spans="4:5">
      <c r="D35" s="57" t="s">
        <v>470</v>
      </c>
      <c r="E35" s="57"/>
    </row>
  </sheetData>
  <mergeCells count="14">
    <mergeCell ref="D33:E33"/>
    <mergeCell ref="D34:E34"/>
    <mergeCell ref="D35:E35"/>
    <mergeCell ref="B28:C28"/>
    <mergeCell ref="A2:H2"/>
    <mergeCell ref="A15:C15"/>
    <mergeCell ref="A24:B24"/>
    <mergeCell ref="E15:H15"/>
    <mergeCell ref="E16:H16"/>
    <mergeCell ref="E17:H17"/>
    <mergeCell ref="E18:H18"/>
    <mergeCell ref="E19:H19"/>
    <mergeCell ref="E20:H20"/>
    <mergeCell ref="E21:H21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4A7E"/>
  </sheetPr>
  <dimension ref="A1:O63"/>
  <sheetViews>
    <sheetView showGridLines="0" view="pageBreakPreview" zoomScale="70" zoomScaleNormal="70" zoomScaleSheetLayoutView="70" workbookViewId="0">
      <pane xSplit="5" ySplit="7" topLeftCell="F35" activePane="bottomRight" state="frozen"/>
      <selection pane="topRight"/>
      <selection pane="bottomLeft"/>
      <selection pane="bottomRight" activeCell="I50" sqref="I50"/>
    </sheetView>
  </sheetViews>
  <sheetFormatPr defaultColWidth="8.6640625" defaultRowHeight="14"/>
  <cols>
    <col min="1" max="1" width="10" style="6" customWidth="1"/>
    <col min="2" max="2" width="7" style="6" customWidth="1"/>
    <col min="3" max="3" width="10" style="6" customWidth="1"/>
    <col min="4" max="4" width="13" style="6" customWidth="1"/>
    <col min="5" max="5" width="62" style="6" customWidth="1"/>
    <col min="6" max="6" width="9" style="32" customWidth="1"/>
    <col min="7" max="7" width="13" style="32" customWidth="1"/>
    <col min="8" max="11" width="18" style="6" customWidth="1"/>
    <col min="12" max="12" width="19" style="6" hidden="1" customWidth="1"/>
    <col min="13" max="13" width="14.1640625" style="6" bestFit="1" customWidth="1"/>
    <col min="14" max="14" width="10.83203125" style="6" bestFit="1" customWidth="1"/>
    <col min="15" max="15" width="14.1640625" style="6" bestFit="1" customWidth="1"/>
    <col min="16" max="16384" width="8.6640625" style="6"/>
  </cols>
  <sheetData>
    <row r="1" spans="1:12" ht="166.75" customHeight="1"/>
    <row r="3" spans="1:12" ht="19">
      <c r="A3" s="59" t="s">
        <v>332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>
      <c r="A4" s="7"/>
      <c r="B4" s="7"/>
      <c r="C4" s="7"/>
      <c r="D4" s="7"/>
      <c r="E4" s="7"/>
      <c r="F4" s="28"/>
      <c r="G4" s="28"/>
      <c r="H4" s="7"/>
      <c r="I4" s="7"/>
      <c r="J4" s="7"/>
      <c r="K4" s="7"/>
      <c r="L4" s="7"/>
    </row>
    <row r="5" spans="1:12" s="17" customFormat="1">
      <c r="A5" s="20" t="s">
        <v>36</v>
      </c>
      <c r="B5" s="20" t="s">
        <v>37</v>
      </c>
      <c r="C5" s="20"/>
      <c r="F5" s="29"/>
      <c r="G5" s="29" t="s">
        <v>39</v>
      </c>
      <c r="H5" s="20" t="s">
        <v>14</v>
      </c>
      <c r="I5" s="20"/>
      <c r="J5" s="20" t="s">
        <v>9</v>
      </c>
      <c r="K5" s="21">
        <v>0.25</v>
      </c>
      <c r="L5" s="20"/>
    </row>
    <row r="6" spans="1:12">
      <c r="A6" s="20" t="s">
        <v>15</v>
      </c>
      <c r="B6" s="20" t="s">
        <v>38</v>
      </c>
      <c r="C6" s="8"/>
      <c r="D6" s="8"/>
      <c r="E6" s="8"/>
      <c r="F6" s="30"/>
      <c r="G6" s="30"/>
      <c r="H6" s="8"/>
      <c r="I6" s="8"/>
      <c r="J6" s="8"/>
      <c r="K6" s="8"/>
      <c r="L6" s="8"/>
    </row>
    <row r="7" spans="1:12" ht="21.65" customHeight="1">
      <c r="A7" s="10" t="s">
        <v>40</v>
      </c>
      <c r="B7" s="12" t="s">
        <v>18</v>
      </c>
      <c r="C7" s="12" t="s">
        <v>41</v>
      </c>
      <c r="D7" s="12" t="s">
        <v>42</v>
      </c>
      <c r="E7" s="12" t="s">
        <v>43</v>
      </c>
      <c r="F7" s="12" t="s">
        <v>44</v>
      </c>
      <c r="G7" s="12" t="s">
        <v>45</v>
      </c>
      <c r="H7" s="12" t="s">
        <v>46</v>
      </c>
      <c r="I7" s="12" t="s">
        <v>47</v>
      </c>
      <c r="J7" s="12" t="s">
        <v>48</v>
      </c>
      <c r="K7" s="12" t="s">
        <v>49</v>
      </c>
      <c r="L7" s="11" t="s">
        <v>50</v>
      </c>
    </row>
    <row r="8" spans="1:12" s="17" customFormat="1">
      <c r="A8" s="52" t="s">
        <v>51</v>
      </c>
      <c r="B8" s="52"/>
      <c r="C8" s="52"/>
      <c r="D8" s="52"/>
      <c r="E8" s="64"/>
      <c r="F8" s="52"/>
      <c r="G8" s="52"/>
      <c r="H8" s="52"/>
      <c r="I8" s="52"/>
      <c r="J8" s="52"/>
      <c r="K8" s="52"/>
      <c r="L8" s="64"/>
    </row>
    <row r="9" spans="1:12" s="17" customFormat="1">
      <c r="A9" s="15" t="s">
        <v>52</v>
      </c>
      <c r="B9" s="15" t="s">
        <v>21</v>
      </c>
      <c r="C9" s="15" t="s">
        <v>53</v>
      </c>
      <c r="D9" s="31" t="s">
        <v>54</v>
      </c>
      <c r="E9" s="22" t="s">
        <v>55</v>
      </c>
      <c r="F9" s="31" t="s">
        <v>56</v>
      </c>
      <c r="G9" s="39">
        <v>1.2</v>
      </c>
      <c r="H9" s="16">
        <v>155</v>
      </c>
      <c r="I9" s="16">
        <f t="shared" ref="I9:I14" si="0">ROUND(G9*H9,2)</f>
        <v>186</v>
      </c>
      <c r="J9" s="16">
        <f t="shared" ref="J9:J14" si="1">ROUND(H9*(1+$K$5),2)</f>
        <v>193.75</v>
      </c>
      <c r="K9" s="16">
        <f t="shared" ref="K9:K14" si="2">ROUND(G9*J9,2)</f>
        <v>232.5</v>
      </c>
      <c r="L9" s="22" t="s">
        <v>57</v>
      </c>
    </row>
    <row r="10" spans="1:12" s="17" customFormat="1" ht="28">
      <c r="A10" s="15" t="s">
        <v>58</v>
      </c>
      <c r="B10" s="15" t="s">
        <v>21</v>
      </c>
      <c r="C10" s="15" t="s">
        <v>53</v>
      </c>
      <c r="D10" s="31" t="s">
        <v>59</v>
      </c>
      <c r="E10" s="22" t="s">
        <v>60</v>
      </c>
      <c r="F10" s="31" t="s">
        <v>61</v>
      </c>
      <c r="G10" s="39">
        <v>8</v>
      </c>
      <c r="H10" s="16">
        <v>118</v>
      </c>
      <c r="I10" s="16">
        <f t="shared" si="0"/>
        <v>944</v>
      </c>
      <c r="J10" s="16">
        <f t="shared" si="1"/>
        <v>147.5</v>
      </c>
      <c r="K10" s="16">
        <f t="shared" si="2"/>
        <v>1180</v>
      </c>
      <c r="L10" s="23" t="s">
        <v>62</v>
      </c>
    </row>
    <row r="11" spans="1:12" s="17" customFormat="1" ht="42">
      <c r="A11" s="15" t="s">
        <v>63</v>
      </c>
      <c r="B11" s="15" t="s">
        <v>21</v>
      </c>
      <c r="C11" s="15" t="s">
        <v>53</v>
      </c>
      <c r="D11" s="31" t="s">
        <v>64</v>
      </c>
      <c r="E11" s="22" t="s">
        <v>65</v>
      </c>
      <c r="F11" s="31" t="s">
        <v>56</v>
      </c>
      <c r="G11" s="39">
        <v>0.84</v>
      </c>
      <c r="H11" s="16">
        <v>690</v>
      </c>
      <c r="I11" s="16">
        <f t="shared" si="0"/>
        <v>579.6</v>
      </c>
      <c r="J11" s="16">
        <f t="shared" si="1"/>
        <v>862.5</v>
      </c>
      <c r="K11" s="16">
        <f t="shared" si="2"/>
        <v>724.5</v>
      </c>
      <c r="L11" s="23" t="s">
        <v>62</v>
      </c>
    </row>
    <row r="12" spans="1:12" s="17" customFormat="1" ht="28">
      <c r="A12" s="15" t="s">
        <v>66</v>
      </c>
      <c r="B12" s="15" t="s">
        <v>21</v>
      </c>
      <c r="C12" s="15" t="s">
        <v>53</v>
      </c>
      <c r="D12" s="31" t="s">
        <v>67</v>
      </c>
      <c r="E12" s="22" t="s">
        <v>68</v>
      </c>
      <c r="F12" s="31" t="s">
        <v>69</v>
      </c>
      <c r="G12" s="39">
        <v>48.12</v>
      </c>
      <c r="H12" s="16">
        <v>18.899999999999999</v>
      </c>
      <c r="I12" s="16">
        <f t="shared" si="0"/>
        <v>909.47</v>
      </c>
      <c r="J12" s="16">
        <f t="shared" si="1"/>
        <v>23.63</v>
      </c>
      <c r="K12" s="16">
        <f t="shared" si="2"/>
        <v>1137.08</v>
      </c>
      <c r="L12" s="22" t="s">
        <v>57</v>
      </c>
    </row>
    <row r="13" spans="1:12" s="17" customFormat="1">
      <c r="A13" s="15" t="s">
        <v>70</v>
      </c>
      <c r="B13" s="15" t="s">
        <v>21</v>
      </c>
      <c r="C13" s="15" t="s">
        <v>53</v>
      </c>
      <c r="D13" s="31" t="s">
        <v>71</v>
      </c>
      <c r="E13" s="22" t="s">
        <v>72</v>
      </c>
      <c r="F13" s="31" t="s">
        <v>73</v>
      </c>
      <c r="G13" s="39">
        <v>2.88</v>
      </c>
      <c r="H13" s="16">
        <v>108</v>
      </c>
      <c r="I13" s="16">
        <f t="shared" si="0"/>
        <v>311.04000000000002</v>
      </c>
      <c r="J13" s="16">
        <f t="shared" si="1"/>
        <v>135</v>
      </c>
      <c r="K13" s="16">
        <f t="shared" si="2"/>
        <v>388.8</v>
      </c>
      <c r="L13" s="22" t="s">
        <v>57</v>
      </c>
    </row>
    <row r="14" spans="1:12" s="17" customFormat="1">
      <c r="A14" s="15" t="s">
        <v>74</v>
      </c>
      <c r="B14" s="15" t="s">
        <v>21</v>
      </c>
      <c r="C14" s="15" t="s">
        <v>53</v>
      </c>
      <c r="D14" s="31" t="s">
        <v>75</v>
      </c>
      <c r="E14" s="22" t="s">
        <v>76</v>
      </c>
      <c r="F14" s="31" t="s">
        <v>56</v>
      </c>
      <c r="G14" s="39">
        <v>0.76</v>
      </c>
      <c r="H14" s="16">
        <v>78</v>
      </c>
      <c r="I14" s="16">
        <f t="shared" si="0"/>
        <v>59.28</v>
      </c>
      <c r="J14" s="16">
        <f t="shared" si="1"/>
        <v>97.5</v>
      </c>
      <c r="K14" s="16">
        <f t="shared" si="2"/>
        <v>74.099999999999994</v>
      </c>
      <c r="L14" s="22" t="s">
        <v>57</v>
      </c>
    </row>
    <row r="15" spans="1:12" s="17" customFormat="1">
      <c r="A15" s="52" t="s">
        <v>77</v>
      </c>
      <c r="B15" s="52"/>
      <c r="C15" s="52"/>
      <c r="D15" s="52"/>
      <c r="E15" s="64"/>
      <c r="F15" s="52"/>
      <c r="G15" s="52"/>
      <c r="H15" s="52"/>
      <c r="I15" s="52"/>
      <c r="J15" s="52"/>
      <c r="K15" s="52"/>
      <c r="L15" s="64"/>
    </row>
    <row r="16" spans="1:12" s="17" customFormat="1" ht="42">
      <c r="A16" s="15" t="s">
        <v>78</v>
      </c>
      <c r="B16" s="38">
        <v>2</v>
      </c>
      <c r="C16" s="36" t="s">
        <v>53</v>
      </c>
      <c r="D16" s="44">
        <v>100378</v>
      </c>
      <c r="E16" s="37" t="s">
        <v>334</v>
      </c>
      <c r="F16" s="31" t="s">
        <v>69</v>
      </c>
      <c r="G16" s="39">
        <v>1016.5</v>
      </c>
      <c r="H16" s="16">
        <v>35.58</v>
      </c>
      <c r="I16" s="16">
        <f t="shared" ref="I16:I22" si="3">ROUND(G16*H16,2)</f>
        <v>36167.07</v>
      </c>
      <c r="J16" s="16">
        <f t="shared" ref="J16:J22" si="4">ROUND(H16*(1+$K$5),2)</f>
        <v>44.48</v>
      </c>
      <c r="K16" s="16">
        <f t="shared" ref="K16:K22" si="5">ROUND(G16*J16,2)</f>
        <v>45213.919999999998</v>
      </c>
      <c r="L16" s="35"/>
    </row>
    <row r="17" spans="1:14" s="17" customFormat="1" ht="25.75" customHeight="1">
      <c r="A17" s="15" t="s">
        <v>81</v>
      </c>
      <c r="B17" s="38">
        <v>2</v>
      </c>
      <c r="C17" s="36" t="s">
        <v>53</v>
      </c>
      <c r="D17" s="44">
        <v>1332</v>
      </c>
      <c r="E17" s="37" t="s">
        <v>335</v>
      </c>
      <c r="F17" s="31" t="s">
        <v>69</v>
      </c>
      <c r="G17" s="39">
        <v>60</v>
      </c>
      <c r="H17" s="16">
        <v>18.45</v>
      </c>
      <c r="I17" s="16">
        <f t="shared" si="3"/>
        <v>1107</v>
      </c>
      <c r="J17" s="16">
        <f t="shared" si="4"/>
        <v>23.06</v>
      </c>
      <c r="K17" s="16">
        <f t="shared" si="5"/>
        <v>1383.6</v>
      </c>
      <c r="L17" s="35"/>
    </row>
    <row r="18" spans="1:14" s="17" customFormat="1" ht="28">
      <c r="A18" s="15" t="s">
        <v>82</v>
      </c>
      <c r="B18" s="38" t="s">
        <v>23</v>
      </c>
      <c r="C18" s="15" t="s">
        <v>79</v>
      </c>
      <c r="D18" s="31" t="s">
        <v>87</v>
      </c>
      <c r="E18" s="22" t="s">
        <v>88</v>
      </c>
      <c r="F18" s="31" t="s">
        <v>89</v>
      </c>
      <c r="G18" s="39">
        <v>8</v>
      </c>
      <c r="H18" s="16">
        <v>113.21</v>
      </c>
      <c r="I18" s="16">
        <f t="shared" si="3"/>
        <v>905.68</v>
      </c>
      <c r="J18" s="16">
        <f t="shared" si="4"/>
        <v>141.51</v>
      </c>
      <c r="K18" s="16">
        <f t="shared" si="5"/>
        <v>1132.08</v>
      </c>
      <c r="L18" s="23" t="s">
        <v>80</v>
      </c>
    </row>
    <row r="19" spans="1:14" s="17" customFormat="1" ht="28">
      <c r="A19" s="15" t="s">
        <v>83</v>
      </c>
      <c r="B19" s="38" t="s">
        <v>23</v>
      </c>
      <c r="C19" s="15" t="s">
        <v>53</v>
      </c>
      <c r="D19" s="31">
        <v>10997</v>
      </c>
      <c r="E19" s="22" t="s">
        <v>338</v>
      </c>
      <c r="F19" s="31" t="s">
        <v>69</v>
      </c>
      <c r="G19" s="39">
        <v>20</v>
      </c>
      <c r="H19" s="16">
        <v>32.93</v>
      </c>
      <c r="I19" s="16">
        <f t="shared" si="3"/>
        <v>658.6</v>
      </c>
      <c r="J19" s="16">
        <f t="shared" si="4"/>
        <v>41.16</v>
      </c>
      <c r="K19" s="16">
        <f t="shared" si="5"/>
        <v>823.2</v>
      </c>
      <c r="L19" s="23" t="s">
        <v>80</v>
      </c>
    </row>
    <row r="20" spans="1:14" s="17" customFormat="1" ht="28">
      <c r="A20" s="15" t="s">
        <v>85</v>
      </c>
      <c r="B20" s="38" t="s">
        <v>23</v>
      </c>
      <c r="C20" s="15" t="s">
        <v>53</v>
      </c>
      <c r="D20" s="31">
        <v>44495</v>
      </c>
      <c r="E20" s="22" t="s">
        <v>337</v>
      </c>
      <c r="F20" s="31" t="s">
        <v>84</v>
      </c>
      <c r="G20" s="39">
        <v>20</v>
      </c>
      <c r="H20" s="16">
        <v>17.149999999999999</v>
      </c>
      <c r="I20" s="16">
        <f t="shared" si="3"/>
        <v>343</v>
      </c>
      <c r="J20" s="16">
        <f t="shared" si="4"/>
        <v>21.44</v>
      </c>
      <c r="K20" s="16">
        <f t="shared" si="5"/>
        <v>428.8</v>
      </c>
      <c r="L20" s="23" t="s">
        <v>80</v>
      </c>
    </row>
    <row r="21" spans="1:14" s="17" customFormat="1" ht="28">
      <c r="A21" s="15" t="s">
        <v>86</v>
      </c>
      <c r="B21" s="38" t="s">
        <v>23</v>
      </c>
      <c r="C21" s="15" t="s">
        <v>53</v>
      </c>
      <c r="D21" s="31">
        <v>44533</v>
      </c>
      <c r="E21" s="22" t="s">
        <v>336</v>
      </c>
      <c r="F21" s="31" t="s">
        <v>84</v>
      </c>
      <c r="G21" s="39">
        <v>15</v>
      </c>
      <c r="H21" s="16">
        <v>19.21</v>
      </c>
      <c r="I21" s="16">
        <f t="shared" si="3"/>
        <v>288.14999999999998</v>
      </c>
      <c r="J21" s="16">
        <f t="shared" si="4"/>
        <v>24.01</v>
      </c>
      <c r="K21" s="16">
        <f t="shared" si="5"/>
        <v>360.15</v>
      </c>
      <c r="L21" s="23" t="s">
        <v>80</v>
      </c>
    </row>
    <row r="22" spans="1:14" s="17" customFormat="1" ht="28">
      <c r="A22" s="15" t="s">
        <v>90</v>
      </c>
      <c r="B22" s="38" t="s">
        <v>23</v>
      </c>
      <c r="C22" s="15" t="s">
        <v>53</v>
      </c>
      <c r="D22" s="31" t="s">
        <v>91</v>
      </c>
      <c r="E22" s="22" t="s">
        <v>92</v>
      </c>
      <c r="F22" s="31" t="s">
        <v>69</v>
      </c>
      <c r="G22" s="39">
        <v>1016.5</v>
      </c>
      <c r="H22" s="16">
        <v>3.4</v>
      </c>
      <c r="I22" s="16">
        <f t="shared" si="3"/>
        <v>3456.1</v>
      </c>
      <c r="J22" s="16">
        <f t="shared" si="4"/>
        <v>4.25</v>
      </c>
      <c r="K22" s="16">
        <f t="shared" si="5"/>
        <v>4320.13</v>
      </c>
      <c r="L22" s="23" t="s">
        <v>93</v>
      </c>
    </row>
    <row r="23" spans="1:14" s="17" customFormat="1">
      <c r="A23" s="52" t="s">
        <v>94</v>
      </c>
      <c r="B23" s="52"/>
      <c r="C23" s="52"/>
      <c r="D23" s="52"/>
      <c r="E23" s="64"/>
      <c r="F23" s="52"/>
      <c r="G23" s="52"/>
      <c r="H23" s="52"/>
      <c r="I23" s="52"/>
      <c r="J23" s="52"/>
      <c r="K23" s="52"/>
      <c r="L23" s="64"/>
    </row>
    <row r="24" spans="1:14" s="17" customFormat="1" ht="42">
      <c r="A24" s="15" t="s">
        <v>95</v>
      </c>
      <c r="B24" s="15" t="s">
        <v>25</v>
      </c>
      <c r="C24" s="15" t="s">
        <v>53</v>
      </c>
      <c r="D24" s="31">
        <v>39522</v>
      </c>
      <c r="E24" s="22" t="s">
        <v>339</v>
      </c>
      <c r="F24" s="31" t="s">
        <v>73</v>
      </c>
      <c r="G24" s="39">
        <v>82.97</v>
      </c>
      <c r="H24" s="16">
        <v>225.96</v>
      </c>
      <c r="I24" s="16">
        <f t="shared" ref="I24:I29" si="6">ROUND(G24*H24,2)</f>
        <v>18747.900000000001</v>
      </c>
      <c r="J24" s="16">
        <f t="shared" ref="J24:J29" si="7">ROUND(H24*(1+$K$5),2)</f>
        <v>282.45</v>
      </c>
      <c r="K24" s="16">
        <f t="shared" ref="K24:K29" si="8">ROUND(G24*J24,2)</f>
        <v>23434.880000000001</v>
      </c>
      <c r="L24" s="23" t="s">
        <v>80</v>
      </c>
    </row>
    <row r="25" spans="1:14" s="17" customFormat="1">
      <c r="A25" s="15" t="s">
        <v>96</v>
      </c>
      <c r="B25" s="15" t="s">
        <v>25</v>
      </c>
      <c r="C25" s="15" t="s">
        <v>53</v>
      </c>
      <c r="D25" s="31" t="s">
        <v>97</v>
      </c>
      <c r="E25" s="22" t="s">
        <v>98</v>
      </c>
      <c r="F25" s="31" t="s">
        <v>84</v>
      </c>
      <c r="G25" s="39">
        <v>450</v>
      </c>
      <c r="H25" s="16">
        <v>4.0999999999999996</v>
      </c>
      <c r="I25" s="16">
        <f t="shared" si="6"/>
        <v>1845</v>
      </c>
      <c r="J25" s="16">
        <f t="shared" si="7"/>
        <v>5.13</v>
      </c>
      <c r="K25" s="16">
        <f t="shared" si="8"/>
        <v>2308.5</v>
      </c>
      <c r="L25" s="22" t="s">
        <v>57</v>
      </c>
    </row>
    <row r="26" spans="1:14" s="17" customFormat="1" ht="28">
      <c r="A26" s="15" t="s">
        <v>99</v>
      </c>
      <c r="B26" s="15" t="s">
        <v>25</v>
      </c>
      <c r="C26" s="15" t="s">
        <v>53</v>
      </c>
      <c r="D26" s="31">
        <v>94228</v>
      </c>
      <c r="E26" s="22" t="s">
        <v>340</v>
      </c>
      <c r="F26" s="31" t="s">
        <v>61</v>
      </c>
      <c r="G26" s="39">
        <v>11</v>
      </c>
      <c r="H26" s="16">
        <v>168.09</v>
      </c>
      <c r="I26" s="16">
        <f t="shared" si="6"/>
        <v>1848.99</v>
      </c>
      <c r="J26" s="16">
        <f t="shared" si="7"/>
        <v>210.11</v>
      </c>
      <c r="K26" s="16">
        <f t="shared" si="8"/>
        <v>2311.21</v>
      </c>
      <c r="L26" s="23" t="s">
        <v>80</v>
      </c>
    </row>
    <row r="27" spans="1:14" s="17" customFormat="1" ht="28">
      <c r="A27" s="15" t="s">
        <v>100</v>
      </c>
      <c r="B27" s="15" t="s">
        <v>25</v>
      </c>
      <c r="C27" s="15" t="s">
        <v>53</v>
      </c>
      <c r="D27" s="31">
        <v>94231</v>
      </c>
      <c r="E27" s="22" t="s">
        <v>341</v>
      </c>
      <c r="F27" s="31" t="s">
        <v>61</v>
      </c>
      <c r="G27" s="39">
        <v>26.09</v>
      </c>
      <c r="H27" s="16">
        <v>97.43</v>
      </c>
      <c r="I27" s="16">
        <f t="shared" si="6"/>
        <v>2541.9499999999998</v>
      </c>
      <c r="J27" s="16">
        <f t="shared" si="7"/>
        <v>121.79</v>
      </c>
      <c r="K27" s="16">
        <f t="shared" si="8"/>
        <v>3177.5</v>
      </c>
      <c r="L27" s="23" t="s">
        <v>80</v>
      </c>
    </row>
    <row r="28" spans="1:14" s="17" customFormat="1" ht="28">
      <c r="A28" s="15" t="s">
        <v>101</v>
      </c>
      <c r="B28" s="15" t="s">
        <v>25</v>
      </c>
      <c r="C28" s="15" t="s">
        <v>53</v>
      </c>
      <c r="D28" s="31">
        <v>43106</v>
      </c>
      <c r="E28" s="22" t="s">
        <v>342</v>
      </c>
      <c r="F28" s="31" t="s">
        <v>73</v>
      </c>
      <c r="G28" s="39">
        <v>28</v>
      </c>
      <c r="H28" s="16">
        <v>284.73</v>
      </c>
      <c r="I28" s="16">
        <f t="shared" si="6"/>
        <v>7972.44</v>
      </c>
      <c r="J28" s="16">
        <f t="shared" si="7"/>
        <v>355.91</v>
      </c>
      <c r="K28" s="16">
        <f t="shared" si="8"/>
        <v>9965.48</v>
      </c>
      <c r="L28" s="23" t="s">
        <v>80</v>
      </c>
    </row>
    <row r="29" spans="1:14" s="17" customFormat="1" ht="28">
      <c r="A29" s="15" t="s">
        <v>102</v>
      </c>
      <c r="B29" s="15" t="s">
        <v>25</v>
      </c>
      <c r="C29" s="15" t="s">
        <v>53</v>
      </c>
      <c r="D29" s="31">
        <v>100947</v>
      </c>
      <c r="E29" s="22" t="s">
        <v>343</v>
      </c>
      <c r="F29" s="31" t="s">
        <v>103</v>
      </c>
      <c r="G29" s="39">
        <v>1</v>
      </c>
      <c r="H29" s="16">
        <v>2467.67</v>
      </c>
      <c r="I29" s="16">
        <f t="shared" si="6"/>
        <v>2467.67</v>
      </c>
      <c r="J29" s="16">
        <f t="shared" si="7"/>
        <v>3084.59</v>
      </c>
      <c r="K29" s="16">
        <f t="shared" si="8"/>
        <v>3084.59</v>
      </c>
      <c r="L29" s="23" t="s">
        <v>80</v>
      </c>
      <c r="M29" s="47">
        <f>H29-M49</f>
        <v>2467.67</v>
      </c>
      <c r="N29" s="17">
        <v>2464.67</v>
      </c>
    </row>
    <row r="30" spans="1:14" s="17" customFormat="1">
      <c r="A30" s="52" t="s">
        <v>104</v>
      </c>
      <c r="B30" s="52"/>
      <c r="C30" s="52"/>
      <c r="D30" s="52"/>
      <c r="E30" s="64"/>
      <c r="F30" s="52"/>
      <c r="G30" s="52"/>
      <c r="H30" s="52"/>
      <c r="I30" s="52"/>
      <c r="J30" s="52"/>
      <c r="K30" s="52"/>
      <c r="L30" s="64"/>
    </row>
    <row r="31" spans="1:14" s="17" customFormat="1" ht="28">
      <c r="A31" s="15" t="s">
        <v>105</v>
      </c>
      <c r="B31" s="15" t="s">
        <v>27</v>
      </c>
      <c r="C31" s="15" t="s">
        <v>53</v>
      </c>
      <c r="D31" s="31" t="s">
        <v>106</v>
      </c>
      <c r="E31" s="22" t="s">
        <v>344</v>
      </c>
      <c r="F31" s="31" t="s">
        <v>61</v>
      </c>
      <c r="G31" s="39">
        <v>9</v>
      </c>
      <c r="H31" s="16">
        <v>62</v>
      </c>
      <c r="I31" s="16">
        <f>ROUND(G31*H31,2)</f>
        <v>558</v>
      </c>
      <c r="J31" s="16">
        <f>ROUND(H31*(1+$K$5),2)</f>
        <v>77.5</v>
      </c>
      <c r="K31" s="16">
        <f>ROUND(G31*J31,2)</f>
        <v>697.5</v>
      </c>
      <c r="L31" s="22" t="s">
        <v>57</v>
      </c>
    </row>
    <row r="32" spans="1:14" s="17" customFormat="1" ht="28">
      <c r="A32" s="15" t="s">
        <v>107</v>
      </c>
      <c r="B32" s="15" t="s">
        <v>27</v>
      </c>
      <c r="C32" s="15" t="s">
        <v>53</v>
      </c>
      <c r="D32" s="31" t="s">
        <v>108</v>
      </c>
      <c r="E32" s="22" t="s">
        <v>345</v>
      </c>
      <c r="F32" s="31" t="s">
        <v>84</v>
      </c>
      <c r="G32" s="39">
        <v>4</v>
      </c>
      <c r="H32" s="16">
        <v>42</v>
      </c>
      <c r="I32" s="16">
        <f>ROUND(G32*H32,2)</f>
        <v>168</v>
      </c>
      <c r="J32" s="16">
        <f>ROUND(H32*(1+$K$5),2)</f>
        <v>52.5</v>
      </c>
      <c r="K32" s="16">
        <f>ROUND(G32*J32,2)</f>
        <v>210</v>
      </c>
      <c r="L32" s="22" t="s">
        <v>57</v>
      </c>
    </row>
    <row r="33" spans="1:12" s="17" customFormat="1" ht="28">
      <c r="A33" s="15" t="s">
        <v>109</v>
      </c>
      <c r="B33" s="15" t="s">
        <v>27</v>
      </c>
      <c r="C33" s="15" t="s">
        <v>53</v>
      </c>
      <c r="D33" s="31">
        <v>12614</v>
      </c>
      <c r="E33" s="22" t="s">
        <v>346</v>
      </c>
      <c r="F33" s="31" t="s">
        <v>110</v>
      </c>
      <c r="G33" s="39">
        <v>2</v>
      </c>
      <c r="H33" s="16">
        <v>126.93</v>
      </c>
      <c r="I33" s="16">
        <f>ROUND(G33*H33,2)</f>
        <v>253.86</v>
      </c>
      <c r="J33" s="16">
        <f>ROUND(H33*(1+$K$5),2)</f>
        <v>158.66</v>
      </c>
      <c r="K33" s="16">
        <f>ROUND(G33*J33,2)</f>
        <v>317.32</v>
      </c>
      <c r="L33" s="23" t="s">
        <v>80</v>
      </c>
    </row>
    <row r="34" spans="1:12" s="17" customFormat="1">
      <c r="A34" s="52" t="s">
        <v>111</v>
      </c>
      <c r="B34" s="52"/>
      <c r="C34" s="52"/>
      <c r="D34" s="52"/>
      <c r="E34" s="64"/>
      <c r="F34" s="52"/>
      <c r="G34" s="52"/>
      <c r="H34" s="52"/>
      <c r="I34" s="52"/>
      <c r="J34" s="52"/>
      <c r="K34" s="52"/>
      <c r="L34" s="64"/>
    </row>
    <row r="35" spans="1:12" s="17" customFormat="1" ht="28">
      <c r="A35" s="15" t="s">
        <v>112</v>
      </c>
      <c r="B35" s="15" t="s">
        <v>29</v>
      </c>
      <c r="C35" s="15" t="s">
        <v>53</v>
      </c>
      <c r="D35" s="31">
        <v>95727</v>
      </c>
      <c r="E35" s="22" t="s">
        <v>347</v>
      </c>
      <c r="F35" s="31" t="s">
        <v>61</v>
      </c>
      <c r="G35" s="39">
        <v>30</v>
      </c>
      <c r="H35" s="16">
        <v>31</v>
      </c>
      <c r="I35" s="16">
        <f t="shared" ref="I35:I41" si="9">ROUND(G35*H35,2)</f>
        <v>930</v>
      </c>
      <c r="J35" s="16">
        <f t="shared" ref="J35:J41" si="10">ROUND(H35*(1+$K$5),2)</f>
        <v>38.75</v>
      </c>
      <c r="K35" s="16">
        <f t="shared" ref="K35:K41" si="11">ROUND(G35*J35,2)</f>
        <v>1162.5</v>
      </c>
      <c r="L35" s="22" t="s">
        <v>57</v>
      </c>
    </row>
    <row r="36" spans="1:12" s="17" customFormat="1">
      <c r="A36" s="15" t="s">
        <v>113</v>
      </c>
      <c r="B36" s="15" t="s">
        <v>29</v>
      </c>
      <c r="C36" s="15" t="s">
        <v>53</v>
      </c>
      <c r="D36" s="31" t="s">
        <v>114</v>
      </c>
      <c r="E36" s="22" t="s">
        <v>115</v>
      </c>
      <c r="F36" s="31" t="s">
        <v>84</v>
      </c>
      <c r="G36" s="39">
        <v>6</v>
      </c>
      <c r="H36" s="16">
        <v>58</v>
      </c>
      <c r="I36" s="16">
        <f t="shared" si="9"/>
        <v>348</v>
      </c>
      <c r="J36" s="16">
        <f t="shared" si="10"/>
        <v>72.5</v>
      </c>
      <c r="K36" s="16">
        <f t="shared" si="11"/>
        <v>435</v>
      </c>
      <c r="L36" s="22" t="s">
        <v>57</v>
      </c>
    </row>
    <row r="37" spans="1:12" s="17" customFormat="1">
      <c r="A37" s="15" t="s">
        <v>116</v>
      </c>
      <c r="B37" s="15" t="s">
        <v>29</v>
      </c>
      <c r="C37" s="15" t="s">
        <v>53</v>
      </c>
      <c r="D37" s="31" t="s">
        <v>117</v>
      </c>
      <c r="E37" s="22" t="s">
        <v>118</v>
      </c>
      <c r="F37" s="31" t="s">
        <v>61</v>
      </c>
      <c r="G37" s="39">
        <v>50</v>
      </c>
      <c r="H37" s="16">
        <v>6.2</v>
      </c>
      <c r="I37" s="16">
        <f t="shared" si="9"/>
        <v>310</v>
      </c>
      <c r="J37" s="16">
        <f t="shared" si="10"/>
        <v>7.75</v>
      </c>
      <c r="K37" s="16">
        <f t="shared" si="11"/>
        <v>387.5</v>
      </c>
      <c r="L37" s="22" t="s">
        <v>57</v>
      </c>
    </row>
    <row r="38" spans="1:12" s="17" customFormat="1">
      <c r="A38" s="15" t="s">
        <v>119</v>
      </c>
      <c r="B38" s="15" t="s">
        <v>29</v>
      </c>
      <c r="C38" s="15" t="s">
        <v>53</v>
      </c>
      <c r="D38" s="31" t="s">
        <v>117</v>
      </c>
      <c r="E38" s="22" t="s">
        <v>120</v>
      </c>
      <c r="F38" s="31" t="s">
        <v>61</v>
      </c>
      <c r="G38" s="39">
        <v>50</v>
      </c>
      <c r="H38" s="16">
        <v>6.2</v>
      </c>
      <c r="I38" s="16">
        <f t="shared" si="9"/>
        <v>310</v>
      </c>
      <c r="J38" s="16">
        <f t="shared" si="10"/>
        <v>7.75</v>
      </c>
      <c r="K38" s="16">
        <f t="shared" si="11"/>
        <v>387.5</v>
      </c>
      <c r="L38" s="22" t="s">
        <v>57</v>
      </c>
    </row>
    <row r="39" spans="1:12" s="17" customFormat="1" ht="28">
      <c r="A39" s="15" t="s">
        <v>121</v>
      </c>
      <c r="B39" s="15" t="s">
        <v>29</v>
      </c>
      <c r="C39" s="15" t="s">
        <v>53</v>
      </c>
      <c r="D39" s="31" t="s">
        <v>117</v>
      </c>
      <c r="E39" s="22" t="s">
        <v>122</v>
      </c>
      <c r="F39" s="31" t="s">
        <v>61</v>
      </c>
      <c r="G39" s="39">
        <v>50</v>
      </c>
      <c r="H39" s="16">
        <v>6.2</v>
      </c>
      <c r="I39" s="16">
        <f t="shared" si="9"/>
        <v>310</v>
      </c>
      <c r="J39" s="16">
        <f t="shared" si="10"/>
        <v>7.75</v>
      </c>
      <c r="K39" s="16">
        <f t="shared" si="11"/>
        <v>387.5</v>
      </c>
      <c r="L39" s="22" t="s">
        <v>57</v>
      </c>
    </row>
    <row r="40" spans="1:12" s="17" customFormat="1" ht="28">
      <c r="A40" s="15" t="s">
        <v>123</v>
      </c>
      <c r="B40" s="15" t="s">
        <v>29</v>
      </c>
      <c r="C40" s="15" t="s">
        <v>53</v>
      </c>
      <c r="D40" s="31">
        <v>100907</v>
      </c>
      <c r="E40" s="22" t="s">
        <v>348</v>
      </c>
      <c r="F40" s="31" t="s">
        <v>84</v>
      </c>
      <c r="G40" s="39">
        <v>4</v>
      </c>
      <c r="H40" s="16">
        <v>161.22999999999999</v>
      </c>
      <c r="I40" s="16">
        <f t="shared" si="9"/>
        <v>644.91999999999996</v>
      </c>
      <c r="J40" s="16">
        <f t="shared" si="10"/>
        <v>201.54</v>
      </c>
      <c r="K40" s="16">
        <f t="shared" si="11"/>
        <v>806.16</v>
      </c>
      <c r="L40" s="23" t="s">
        <v>80</v>
      </c>
    </row>
    <row r="41" spans="1:12" s="17" customFormat="1" ht="28">
      <c r="A41" s="15" t="s">
        <v>124</v>
      </c>
      <c r="B41" s="15" t="s">
        <v>29</v>
      </c>
      <c r="C41" s="15" t="s">
        <v>53</v>
      </c>
      <c r="D41" s="31">
        <v>91953</v>
      </c>
      <c r="E41" s="22" t="s">
        <v>125</v>
      </c>
      <c r="F41" s="31" t="s">
        <v>84</v>
      </c>
      <c r="G41" s="39">
        <v>1</v>
      </c>
      <c r="H41" s="16">
        <v>58.32</v>
      </c>
      <c r="I41" s="16">
        <f t="shared" si="9"/>
        <v>58.32</v>
      </c>
      <c r="J41" s="16">
        <f t="shared" si="10"/>
        <v>72.900000000000006</v>
      </c>
      <c r="K41" s="16">
        <f t="shared" si="11"/>
        <v>72.900000000000006</v>
      </c>
      <c r="L41" s="23" t="s">
        <v>80</v>
      </c>
    </row>
    <row r="42" spans="1:12" s="17" customFormat="1">
      <c r="A42" s="52" t="s">
        <v>126</v>
      </c>
      <c r="B42" s="52"/>
      <c r="C42" s="52"/>
      <c r="D42" s="52"/>
      <c r="E42" s="64"/>
      <c r="F42" s="52"/>
      <c r="G42" s="52"/>
      <c r="H42" s="52"/>
      <c r="I42" s="52"/>
      <c r="J42" s="52"/>
      <c r="K42" s="52"/>
      <c r="L42" s="64"/>
    </row>
    <row r="43" spans="1:12" s="17" customFormat="1">
      <c r="A43" s="15" t="s">
        <v>127</v>
      </c>
      <c r="B43" s="15" t="s">
        <v>31</v>
      </c>
      <c r="C43" s="15" t="s">
        <v>53</v>
      </c>
      <c r="D43" s="31" t="s">
        <v>128</v>
      </c>
      <c r="E43" s="22" t="s">
        <v>129</v>
      </c>
      <c r="F43" s="31" t="s">
        <v>73</v>
      </c>
      <c r="G43" s="39">
        <v>82.97</v>
      </c>
      <c r="H43" s="16">
        <v>16.5</v>
      </c>
      <c r="I43" s="16">
        <f>ROUND(G43*H43,2)</f>
        <v>1369.01</v>
      </c>
      <c r="J43" s="16">
        <f>ROUND(H43*(1+$K$5),2)</f>
        <v>20.63</v>
      </c>
      <c r="K43" s="16">
        <f>ROUND(G43*J43,2)</f>
        <v>1711.67</v>
      </c>
      <c r="L43" s="22" t="s">
        <v>57</v>
      </c>
    </row>
    <row r="44" spans="1:12" s="17" customFormat="1">
      <c r="A44" s="15" t="s">
        <v>130</v>
      </c>
      <c r="B44" s="15" t="s">
        <v>31</v>
      </c>
      <c r="C44" s="15" t="s">
        <v>53</v>
      </c>
      <c r="D44" s="31" t="s">
        <v>131</v>
      </c>
      <c r="E44" s="22" t="s">
        <v>132</v>
      </c>
      <c r="F44" s="31" t="s">
        <v>73</v>
      </c>
      <c r="G44" s="39">
        <v>82.97</v>
      </c>
      <c r="H44" s="16">
        <v>25.11</v>
      </c>
      <c r="I44" s="16">
        <f>ROUND(G44*H44,2)</f>
        <v>2083.38</v>
      </c>
      <c r="J44" s="16">
        <f>ROUND(H44*(1+$K$5),2)</f>
        <v>31.39</v>
      </c>
      <c r="K44" s="16">
        <f>ROUND(G44*J44,2)</f>
        <v>2604.4299999999998</v>
      </c>
      <c r="L44" s="22" t="s">
        <v>57</v>
      </c>
    </row>
    <row r="45" spans="1:12" s="17" customFormat="1" ht="28">
      <c r="A45" s="15" t="s">
        <v>133</v>
      </c>
      <c r="B45" s="15" t="s">
        <v>31</v>
      </c>
      <c r="C45" s="15" t="s">
        <v>53</v>
      </c>
      <c r="D45" s="31" t="s">
        <v>134</v>
      </c>
      <c r="E45" s="22" t="s">
        <v>135</v>
      </c>
      <c r="F45" s="31" t="s">
        <v>73</v>
      </c>
      <c r="G45" s="39">
        <v>82.97</v>
      </c>
      <c r="H45" s="16">
        <v>35.01</v>
      </c>
      <c r="I45" s="16">
        <f>ROUND(G45*H45,2)</f>
        <v>2904.78</v>
      </c>
      <c r="J45" s="16">
        <f>ROUND(H45*(1+$K$5),2)</f>
        <v>43.76</v>
      </c>
      <c r="K45" s="16">
        <f>ROUND(G45*J45,2)</f>
        <v>3630.77</v>
      </c>
      <c r="L45" s="22" t="s">
        <v>57</v>
      </c>
    </row>
    <row r="46" spans="1:12" s="17" customFormat="1" ht="28">
      <c r="A46" s="15" t="s">
        <v>136</v>
      </c>
      <c r="B46" s="15" t="s">
        <v>31</v>
      </c>
      <c r="C46" s="15" t="s">
        <v>53</v>
      </c>
      <c r="D46" s="31" t="s">
        <v>137</v>
      </c>
      <c r="E46" s="22" t="s">
        <v>138</v>
      </c>
      <c r="F46" s="31" t="s">
        <v>73</v>
      </c>
      <c r="G46" s="39">
        <v>82.97</v>
      </c>
      <c r="H46" s="16">
        <v>14.5</v>
      </c>
      <c r="I46" s="16">
        <f>ROUND(G46*H46,2)</f>
        <v>1203.07</v>
      </c>
      <c r="J46" s="16">
        <f>ROUND(H46*(1+$K$5),2)</f>
        <v>18.13</v>
      </c>
      <c r="K46" s="16">
        <f>ROUND(G46*J46,2)</f>
        <v>1504.25</v>
      </c>
      <c r="L46" s="22" t="s">
        <v>57</v>
      </c>
    </row>
    <row r="47" spans="1:12" s="17" customFormat="1">
      <c r="A47" s="52" t="s">
        <v>139</v>
      </c>
      <c r="B47" s="52"/>
      <c r="C47" s="52"/>
      <c r="D47" s="52"/>
      <c r="E47" s="64"/>
      <c r="F47" s="52"/>
      <c r="G47" s="52"/>
      <c r="H47" s="52"/>
      <c r="I47" s="52"/>
      <c r="J47" s="52"/>
      <c r="K47" s="52"/>
      <c r="L47" s="64"/>
    </row>
    <row r="48" spans="1:12" s="17" customFormat="1">
      <c r="A48" s="15" t="s">
        <v>140</v>
      </c>
      <c r="B48" s="15" t="s">
        <v>33</v>
      </c>
      <c r="C48" s="15" t="s">
        <v>53</v>
      </c>
      <c r="D48" s="31" t="s">
        <v>141</v>
      </c>
      <c r="E48" s="22" t="s">
        <v>142</v>
      </c>
      <c r="F48" s="31" t="s">
        <v>73</v>
      </c>
      <c r="G48" s="39">
        <v>82.97</v>
      </c>
      <c r="H48" s="16">
        <v>28</v>
      </c>
      <c r="I48" s="16">
        <f>ROUND(G48*H48,2)</f>
        <v>2323.16</v>
      </c>
      <c r="J48" s="16">
        <f>ROUND(H48*(1+$K$5),2)</f>
        <v>35</v>
      </c>
      <c r="K48" s="16">
        <f>ROUND(G48*J48,2)</f>
        <v>2903.95</v>
      </c>
      <c r="L48" s="22" t="s">
        <v>57</v>
      </c>
    </row>
    <row r="49" spans="1:15" ht="14.5" thickBot="1">
      <c r="A49" s="8"/>
      <c r="B49" s="8"/>
      <c r="C49" s="8"/>
      <c r="D49" s="8"/>
      <c r="E49" s="22" t="s">
        <v>475</v>
      </c>
      <c r="F49" s="30"/>
      <c r="G49" s="30"/>
      <c r="H49" s="8"/>
      <c r="I49" s="8"/>
      <c r="J49" s="8"/>
      <c r="K49" s="16"/>
      <c r="L49" s="8"/>
      <c r="M49" s="42"/>
    </row>
    <row r="50" spans="1:15" ht="15.5" thickBot="1">
      <c r="A50" s="33" t="s">
        <v>143</v>
      </c>
      <c r="B50" s="34"/>
      <c r="C50" s="34"/>
      <c r="D50" s="34"/>
      <c r="E50" s="34"/>
      <c r="F50" s="34"/>
      <c r="G50" s="34"/>
      <c r="H50" s="24"/>
      <c r="I50" s="24">
        <f>ROUND(SUM(I8:I48),2)</f>
        <v>95113.44</v>
      </c>
      <c r="J50" s="24"/>
      <c r="K50" s="24">
        <f>ROUND(SUM(K8:K49),2)</f>
        <v>118899.97</v>
      </c>
      <c r="L50" s="25"/>
      <c r="M50" s="42"/>
      <c r="N50" s="41"/>
      <c r="O50" s="42"/>
    </row>
    <row r="51" spans="1:15">
      <c r="K51" s="42"/>
    </row>
    <row r="56" spans="1:15" ht="24" customHeight="1">
      <c r="B56" s="58" t="s">
        <v>471</v>
      </c>
      <c r="C56" s="58"/>
      <c r="D56" s="58"/>
      <c r="E56" s="58"/>
      <c r="F56" s="6"/>
      <c r="G56" s="6"/>
    </row>
    <row r="57" spans="1:15">
      <c r="F57" s="6"/>
      <c r="G57" s="6"/>
    </row>
    <row r="58" spans="1:15">
      <c r="F58" s="6"/>
      <c r="G58" s="6"/>
    </row>
    <row r="59" spans="1:15">
      <c r="F59" s="6"/>
      <c r="G59" s="6"/>
    </row>
    <row r="60" spans="1:15">
      <c r="F60" s="6"/>
      <c r="G60" s="56" t="s">
        <v>468</v>
      </c>
      <c r="H60" s="56"/>
      <c r="I60" s="56"/>
    </row>
    <row r="61" spans="1:15">
      <c r="F61" s="6"/>
      <c r="G61" s="57" t="s">
        <v>469</v>
      </c>
      <c r="H61" s="57"/>
      <c r="I61" s="57"/>
    </row>
    <row r="62" spans="1:15">
      <c r="F62" s="6"/>
      <c r="G62" s="57" t="s">
        <v>470</v>
      </c>
      <c r="H62" s="57"/>
      <c r="I62" s="57"/>
    </row>
    <row r="63" spans="1:15">
      <c r="F63" s="6"/>
      <c r="G63" s="6"/>
    </row>
  </sheetData>
  <mergeCells count="12">
    <mergeCell ref="A3:L3"/>
    <mergeCell ref="A8:L8"/>
    <mergeCell ref="A15:L15"/>
    <mergeCell ref="A23:L23"/>
    <mergeCell ref="A30:L30"/>
    <mergeCell ref="G60:I60"/>
    <mergeCell ref="G61:I61"/>
    <mergeCell ref="G62:I62"/>
    <mergeCell ref="B56:E56"/>
    <mergeCell ref="A34:L34"/>
    <mergeCell ref="A42:L42"/>
    <mergeCell ref="A47:L47"/>
  </mergeCells>
  <printOptions horizontalCentered="1"/>
  <pageMargins left="0.39370078740157483" right="0.39370078740157483" top="0.35433070866141736" bottom="0.35433070866141736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29"/>
  <sheetViews>
    <sheetView showGridLines="0" topLeftCell="B1" zoomScale="85" zoomScaleNormal="85" workbookViewId="0">
      <selection activeCell="H8" sqref="H8"/>
    </sheetView>
  </sheetViews>
  <sheetFormatPr defaultColWidth="8.6640625" defaultRowHeight="14"/>
  <cols>
    <col min="1" max="1" width="10" style="6" customWidth="1"/>
    <col min="2" max="2" width="45" style="6" customWidth="1"/>
    <col min="3" max="5" width="23" style="6" customWidth="1"/>
    <col min="6" max="16384" width="8.6640625" style="6"/>
  </cols>
  <sheetData>
    <row r="1" spans="1:5" ht="97.25" customHeight="1"/>
    <row r="3" spans="1:5" s="17" customFormat="1" ht="19">
      <c r="A3" s="65" t="s">
        <v>333</v>
      </c>
      <c r="B3" s="54"/>
      <c r="C3" s="54"/>
      <c r="D3" s="54"/>
      <c r="E3" s="54"/>
    </row>
    <row r="4" spans="1:5">
      <c r="A4" s="7"/>
      <c r="B4" s="7"/>
      <c r="C4" s="7"/>
      <c r="D4" s="7"/>
      <c r="E4" s="7"/>
    </row>
    <row r="5" spans="1:5">
      <c r="A5" s="8"/>
      <c r="B5" s="8"/>
      <c r="C5" s="8"/>
      <c r="D5" s="8"/>
      <c r="E5" s="8"/>
    </row>
    <row r="6" spans="1:5">
      <c r="A6" s="10" t="s">
        <v>18</v>
      </c>
      <c r="B6" s="12" t="s">
        <v>19</v>
      </c>
      <c r="C6" s="12" t="s">
        <v>279</v>
      </c>
      <c r="D6" s="12" t="s">
        <v>280</v>
      </c>
      <c r="E6" s="11" t="s">
        <v>281</v>
      </c>
    </row>
    <row r="7" spans="1:5" s="17" customFormat="1">
      <c r="A7" s="15" t="s">
        <v>21</v>
      </c>
      <c r="B7" s="15" t="s">
        <v>22</v>
      </c>
      <c r="C7" s="16">
        <f>ROUND(SUM('Orçamento Sintético'!K9:K14)*50%,2)</f>
        <v>1868.49</v>
      </c>
      <c r="D7" s="16">
        <f>ROUND(SUM('Orçamento Sintético'!K9:K14)-C7,2)</f>
        <v>1868.49</v>
      </c>
      <c r="E7" s="16">
        <f>ROUND(SUM('Orçamento Sintético'!K9:K14),2)</f>
        <v>3736.98</v>
      </c>
    </row>
    <row r="8" spans="1:5" s="17" customFormat="1">
      <c r="A8" s="15" t="s">
        <v>23</v>
      </c>
      <c r="B8" s="15" t="s">
        <v>24</v>
      </c>
      <c r="C8" s="16">
        <f>ROUND(SUM('Orçamento Sintético'!K16:K22)*50%,2)</f>
        <v>26830.94</v>
      </c>
      <c r="D8" s="16">
        <f>ROUND(SUM('Orçamento Sintético'!K16:K22)-C8,2)</f>
        <v>26830.94</v>
      </c>
      <c r="E8" s="16">
        <f>ROUND(SUM('Orçamento Sintético'!K16:K22),2)</f>
        <v>53661.88</v>
      </c>
    </row>
    <row r="9" spans="1:5" s="17" customFormat="1">
      <c r="A9" s="15" t="s">
        <v>25</v>
      </c>
      <c r="B9" s="15" t="s">
        <v>26</v>
      </c>
      <c r="C9" s="16">
        <f>ROUND(SUM('Orçamento Sintético'!K24:K29)*50%,2)</f>
        <v>22141.08</v>
      </c>
      <c r="D9" s="16">
        <f>ROUND(SUM('Orçamento Sintético'!K24:K29)-C9,2)</f>
        <v>22141.08</v>
      </c>
      <c r="E9" s="16">
        <f>ROUND(SUM('Orçamento Sintético'!K24:K29),2)</f>
        <v>44282.16</v>
      </c>
    </row>
    <row r="10" spans="1:5" s="17" customFormat="1">
      <c r="A10" s="15" t="s">
        <v>27</v>
      </c>
      <c r="B10" s="15" t="s">
        <v>28</v>
      </c>
      <c r="C10" s="16">
        <f>ROUND(SUM('Orçamento Sintético'!K31:K33)*50%,2)</f>
        <v>612.41</v>
      </c>
      <c r="D10" s="16">
        <f>ROUND(SUM('Orçamento Sintético'!K31:K33)-C10,2)</f>
        <v>612.41</v>
      </c>
      <c r="E10" s="16">
        <f>ROUND(SUM('Orçamento Sintético'!K31:K33),2)</f>
        <v>1224.82</v>
      </c>
    </row>
    <row r="11" spans="1:5" s="17" customFormat="1">
      <c r="A11" s="15" t="s">
        <v>29</v>
      </c>
      <c r="B11" s="15" t="s">
        <v>30</v>
      </c>
      <c r="C11" s="16">
        <f>ROUND(SUM('Orçamento Sintético'!K35:K41)*50%,2)</f>
        <v>1819.53</v>
      </c>
      <c r="D11" s="16">
        <f>ROUND(SUM('Orçamento Sintético'!K35:K41)-C11,2)</f>
        <v>1819.53</v>
      </c>
      <c r="E11" s="16">
        <f>ROUND(SUM('Orçamento Sintético'!K35:K41),2)</f>
        <v>3639.06</v>
      </c>
    </row>
    <row r="12" spans="1:5" s="17" customFormat="1">
      <c r="A12" s="15" t="s">
        <v>31</v>
      </c>
      <c r="B12" s="15" t="s">
        <v>32</v>
      </c>
      <c r="C12" s="16">
        <f>ROUND(SUM('Orçamento Sintético'!K43:K46)*50%,2)</f>
        <v>4725.5600000000004</v>
      </c>
      <c r="D12" s="16">
        <f>ROUND(SUM('Orçamento Sintético'!K43:K46)-C12,2)</f>
        <v>4725.5600000000004</v>
      </c>
      <c r="E12" s="16">
        <f>ROUND(SUM('Orçamento Sintético'!K43:K46),2)</f>
        <v>9451.1200000000008</v>
      </c>
    </row>
    <row r="13" spans="1:5" s="17" customFormat="1">
      <c r="A13" s="15" t="s">
        <v>33</v>
      </c>
      <c r="B13" s="15" t="s">
        <v>34</v>
      </c>
      <c r="C13" s="16">
        <f>ROUND(ROUND('Orçamento Sintético'!K50*50%,2)-SUM(C7:C12)-C15,2)</f>
        <v>1451.98</v>
      </c>
      <c r="D13" s="16">
        <f>ROUND(SUM('Orçamento Sintético'!K48:K48)-C13,2)</f>
        <v>1451.97</v>
      </c>
      <c r="E13" s="16">
        <f>ROUND(SUM('Orçamento Sintético'!K48:K48),2)</f>
        <v>2903.95</v>
      </c>
    </row>
    <row r="14" spans="1:5">
      <c r="A14" s="61" t="s">
        <v>282</v>
      </c>
      <c r="B14" s="61"/>
      <c r="C14" s="13">
        <f>ROUND(SUM(C7:C13)+C15,2)</f>
        <v>59449.99</v>
      </c>
      <c r="D14" s="13">
        <f>ROUND('Orçamento Sintético'!K50-C14,2)</f>
        <v>59449.98</v>
      </c>
      <c r="E14" s="13">
        <f>'Orçamento Sintético'!K50</f>
        <v>118899.97</v>
      </c>
    </row>
    <row r="15" spans="1:5" ht="21.65" customHeight="1">
      <c r="B15" s="15"/>
      <c r="C15" s="16"/>
      <c r="D15" s="16"/>
      <c r="E15" s="16"/>
    </row>
    <row r="16" spans="1:5">
      <c r="D16" s="40"/>
    </row>
    <row r="22" spans="2:5" ht="15.5">
      <c r="B22" s="45" t="s">
        <v>471</v>
      </c>
      <c r="C22" s="45"/>
      <c r="D22" s="45"/>
      <c r="E22" s="45"/>
    </row>
    <row r="27" spans="2:5">
      <c r="C27" s="56" t="s">
        <v>468</v>
      </c>
      <c r="D27" s="56"/>
    </row>
    <row r="28" spans="2:5" ht="12.65" customHeight="1">
      <c r="C28" s="57" t="s">
        <v>469</v>
      </c>
      <c r="D28" s="57"/>
    </row>
    <row r="29" spans="2:5" ht="12.65" customHeight="1">
      <c r="C29" s="57" t="s">
        <v>470</v>
      </c>
      <c r="D29" s="57"/>
    </row>
  </sheetData>
  <mergeCells count="5">
    <mergeCell ref="C27:D27"/>
    <mergeCell ref="C28:D28"/>
    <mergeCell ref="C29:D29"/>
    <mergeCell ref="A3:E3"/>
    <mergeCell ref="A14:B14"/>
  </mergeCells>
  <pageMargins left="0.51181102362204722" right="0.51181102362204722" top="0.35433070866141736" bottom="0.35433070866141736" header="0.31496062992125984" footer="0.31496062992125984"/>
  <pageSetup paperSize="9" orientation="landscape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8"/>
  <sheetViews>
    <sheetView showGridLines="0" view="pageBreakPreview" zoomScaleNormal="100" zoomScaleSheetLayoutView="100" workbookViewId="0">
      <pane ySplit="6" topLeftCell="A16" activePane="bottomLeft" state="frozen"/>
      <selection pane="bottomLeft" activeCell="C49" sqref="C49"/>
    </sheetView>
  </sheetViews>
  <sheetFormatPr defaultColWidth="8.6640625" defaultRowHeight="14"/>
  <cols>
    <col min="1" max="1" width="12" style="6" customWidth="1"/>
    <col min="2" max="2" width="34.5" style="6" bestFit="1" customWidth="1"/>
    <col min="3" max="3" width="34" style="6" customWidth="1"/>
    <col min="4" max="4" width="10" style="6" customWidth="1"/>
    <col min="5" max="5" width="14" style="6" customWidth="1"/>
    <col min="6" max="6" width="24" style="6" hidden="1" customWidth="1"/>
    <col min="7" max="7" width="38" style="6" customWidth="1"/>
    <col min="8" max="16384" width="8.6640625" style="6"/>
  </cols>
  <sheetData>
    <row r="1" spans="1:7" ht="92.4" customHeight="1"/>
    <row r="3" spans="1:7" ht="19">
      <c r="A3" s="59" t="s">
        <v>144</v>
      </c>
      <c r="B3" s="60"/>
      <c r="C3" s="60"/>
      <c r="D3" s="60"/>
      <c r="E3" s="60"/>
      <c r="F3" s="60"/>
      <c r="G3" s="60"/>
    </row>
    <row r="4" spans="1:7">
      <c r="A4" s="7"/>
      <c r="B4" s="7"/>
      <c r="C4" s="7"/>
      <c r="D4" s="7"/>
      <c r="E4" s="7"/>
      <c r="F4" s="7"/>
      <c r="G4" s="7"/>
    </row>
    <row r="5" spans="1:7">
      <c r="A5" s="8"/>
      <c r="B5" s="8"/>
      <c r="C5" s="8"/>
      <c r="D5" s="8"/>
      <c r="E5" s="8"/>
      <c r="F5" s="8"/>
      <c r="G5" s="8"/>
    </row>
    <row r="6" spans="1:7">
      <c r="A6" s="10" t="s">
        <v>145</v>
      </c>
      <c r="B6" s="12" t="s">
        <v>146</v>
      </c>
      <c r="C6" s="12" t="s">
        <v>147</v>
      </c>
      <c r="D6" s="12" t="s">
        <v>44</v>
      </c>
      <c r="E6" s="12" t="s">
        <v>45</v>
      </c>
      <c r="F6" s="12" t="s">
        <v>148</v>
      </c>
      <c r="G6" s="11" t="s">
        <v>149</v>
      </c>
    </row>
    <row r="7" spans="1:7" s="17" customFormat="1" ht="28">
      <c r="A7" s="15" t="s">
        <v>150</v>
      </c>
      <c r="B7" s="15" t="s">
        <v>472</v>
      </c>
      <c r="C7" s="22" t="s">
        <v>467</v>
      </c>
      <c r="D7" s="22" t="s">
        <v>73</v>
      </c>
      <c r="E7" s="26">
        <v>82.97</v>
      </c>
      <c r="F7" s="22" t="s">
        <v>151</v>
      </c>
      <c r="G7" s="22" t="s">
        <v>485</v>
      </c>
    </row>
    <row r="8" spans="1:7" s="17" customFormat="1">
      <c r="A8" s="15" t="s">
        <v>152</v>
      </c>
      <c r="B8" s="15" t="s">
        <v>153</v>
      </c>
      <c r="C8" s="22" t="s">
        <v>154</v>
      </c>
      <c r="D8" s="22" t="s">
        <v>61</v>
      </c>
      <c r="E8" s="26">
        <f>SQRT(7.5^2+0.8^2)</f>
        <v>7.5425459892532309</v>
      </c>
      <c r="F8" s="22" t="s">
        <v>155</v>
      </c>
      <c r="G8" s="22" t="s">
        <v>156</v>
      </c>
    </row>
    <row r="9" spans="1:7" s="17" customFormat="1" ht="28">
      <c r="A9" s="15" t="s">
        <v>157</v>
      </c>
      <c r="B9" s="15" t="s">
        <v>158</v>
      </c>
      <c r="C9" s="22" t="s">
        <v>159</v>
      </c>
      <c r="D9" s="22" t="s">
        <v>160</v>
      </c>
      <c r="E9" s="26">
        <v>10.67</v>
      </c>
      <c r="F9" s="22" t="s">
        <v>155</v>
      </c>
      <c r="G9" s="22" t="s">
        <v>161</v>
      </c>
    </row>
    <row r="10" spans="1:7" s="17" customFormat="1">
      <c r="A10" s="15" t="s">
        <v>162</v>
      </c>
      <c r="B10" s="15" t="s">
        <v>163</v>
      </c>
      <c r="C10" s="22" t="s">
        <v>467</v>
      </c>
      <c r="D10" s="22" t="s">
        <v>73</v>
      </c>
      <c r="E10" s="26">
        <f>ROUND(11*E8,2)</f>
        <v>82.97</v>
      </c>
      <c r="F10" s="22" t="s">
        <v>164</v>
      </c>
      <c r="G10" s="22" t="s">
        <v>473</v>
      </c>
    </row>
    <row r="11" spans="1:7" s="17" customFormat="1">
      <c r="A11" s="15" t="s">
        <v>165</v>
      </c>
      <c r="B11" s="15" t="s">
        <v>351</v>
      </c>
      <c r="C11" s="22" t="s">
        <v>352</v>
      </c>
      <c r="D11" s="22" t="s">
        <v>73</v>
      </c>
      <c r="E11" s="26">
        <v>82.97</v>
      </c>
      <c r="F11" s="22" t="s">
        <v>353</v>
      </c>
      <c r="G11" s="22" t="s">
        <v>354</v>
      </c>
    </row>
    <row r="12" spans="1:7" s="17" customFormat="1" ht="28">
      <c r="A12" s="15" t="s">
        <v>166</v>
      </c>
      <c r="B12" s="15" t="s">
        <v>167</v>
      </c>
      <c r="C12" s="22" t="s">
        <v>168</v>
      </c>
      <c r="D12" s="22" t="s">
        <v>69</v>
      </c>
      <c r="E12" s="26">
        <v>574.08000000000004</v>
      </c>
      <c r="F12" s="22" t="s">
        <v>169</v>
      </c>
      <c r="G12" s="22" t="s">
        <v>170</v>
      </c>
    </row>
    <row r="13" spans="1:7" s="17" customFormat="1" ht="28">
      <c r="A13" s="15" t="s">
        <v>171</v>
      </c>
      <c r="B13" s="15" t="s">
        <v>172</v>
      </c>
      <c r="C13" s="22" t="s">
        <v>173</v>
      </c>
      <c r="D13" s="22" t="s">
        <v>69</v>
      </c>
      <c r="E13" s="26">
        <v>235.62</v>
      </c>
      <c r="F13" s="22" t="s">
        <v>169</v>
      </c>
      <c r="G13" s="22" t="s">
        <v>174</v>
      </c>
    </row>
    <row r="14" spans="1:7" s="17" customFormat="1">
      <c r="A14" s="15" t="s">
        <v>175</v>
      </c>
      <c r="B14" s="15" t="s">
        <v>176</v>
      </c>
      <c r="C14" s="22" t="s">
        <v>177</v>
      </c>
      <c r="D14" s="22" t="s">
        <v>69</v>
      </c>
      <c r="E14" s="26">
        <v>164.52</v>
      </c>
      <c r="F14" s="22" t="s">
        <v>169</v>
      </c>
      <c r="G14" s="22" t="s">
        <v>178</v>
      </c>
    </row>
    <row r="15" spans="1:7" s="17" customFormat="1">
      <c r="A15" s="15" t="s">
        <v>179</v>
      </c>
      <c r="B15" s="15" t="s">
        <v>180</v>
      </c>
      <c r="C15" s="22" t="s">
        <v>181</v>
      </c>
      <c r="D15" s="22" t="s">
        <v>69</v>
      </c>
      <c r="E15" s="26">
        <v>78</v>
      </c>
      <c r="F15" s="22" t="s">
        <v>169</v>
      </c>
      <c r="G15" s="22" t="s">
        <v>182</v>
      </c>
    </row>
    <row r="16" spans="1:7" s="17" customFormat="1">
      <c r="A16" s="15" t="s">
        <v>183</v>
      </c>
      <c r="B16" s="15" t="s">
        <v>184</v>
      </c>
      <c r="C16" s="22" t="s">
        <v>474</v>
      </c>
      <c r="D16" s="22" t="s">
        <v>69</v>
      </c>
      <c r="E16" s="26">
        <v>1016.5</v>
      </c>
      <c r="F16" s="22" t="s">
        <v>164</v>
      </c>
      <c r="G16" s="22" t="s">
        <v>185</v>
      </c>
    </row>
    <row r="17" spans="1:7" s="17" customFormat="1">
      <c r="A17" s="15" t="s">
        <v>186</v>
      </c>
      <c r="B17" s="15" t="s">
        <v>187</v>
      </c>
      <c r="C17" s="22" t="s">
        <v>188</v>
      </c>
      <c r="D17" s="22" t="s">
        <v>69</v>
      </c>
      <c r="E17" s="26">
        <v>14.13</v>
      </c>
      <c r="F17" s="22" t="s">
        <v>189</v>
      </c>
      <c r="G17" s="22" t="s">
        <v>355</v>
      </c>
    </row>
    <row r="18" spans="1:7" s="17" customFormat="1">
      <c r="A18" s="15" t="s">
        <v>190</v>
      </c>
      <c r="B18" s="15" t="s">
        <v>356</v>
      </c>
      <c r="C18" s="22" t="s">
        <v>352</v>
      </c>
      <c r="D18" s="22" t="s">
        <v>69</v>
      </c>
      <c r="E18" s="26">
        <f>'Orçamento Sintético'!G16</f>
        <v>1016.5</v>
      </c>
      <c r="F18" s="22" t="s">
        <v>357</v>
      </c>
      <c r="G18" s="22" t="s">
        <v>358</v>
      </c>
    </row>
    <row r="19" spans="1:7" s="17" customFormat="1">
      <c r="A19" s="15" t="s">
        <v>191</v>
      </c>
      <c r="B19" s="15" t="s">
        <v>359</v>
      </c>
      <c r="C19" s="22" t="s">
        <v>192</v>
      </c>
      <c r="D19" s="22" t="s">
        <v>89</v>
      </c>
      <c r="E19" s="26">
        <f>'Orçamento Sintético'!G18</f>
        <v>8</v>
      </c>
      <c r="F19" s="22" t="s">
        <v>360</v>
      </c>
      <c r="G19" s="22" t="s">
        <v>361</v>
      </c>
    </row>
    <row r="20" spans="1:7" s="17" customFormat="1">
      <c r="A20" s="15" t="s">
        <v>193</v>
      </c>
      <c r="B20" s="15" t="s">
        <v>194</v>
      </c>
      <c r="C20" s="22" t="s">
        <v>195</v>
      </c>
      <c r="D20" s="22" t="s">
        <v>56</v>
      </c>
      <c r="E20" s="26">
        <v>0.4</v>
      </c>
      <c r="F20" s="22" t="s">
        <v>196</v>
      </c>
      <c r="G20" s="22" t="s">
        <v>197</v>
      </c>
    </row>
    <row r="21" spans="1:7" s="17" customFormat="1">
      <c r="A21" s="15" t="s">
        <v>198</v>
      </c>
      <c r="B21" s="15" t="s">
        <v>199</v>
      </c>
      <c r="C21" s="22" t="s">
        <v>200</v>
      </c>
      <c r="D21" s="22" t="s">
        <v>56</v>
      </c>
      <c r="E21" s="26">
        <v>0.44</v>
      </c>
      <c r="F21" s="22" t="s">
        <v>196</v>
      </c>
      <c r="G21" s="22" t="s">
        <v>201</v>
      </c>
    </row>
    <row r="22" spans="1:7" s="17" customFormat="1">
      <c r="A22" s="15" t="s">
        <v>202</v>
      </c>
      <c r="B22" s="15" t="s">
        <v>362</v>
      </c>
      <c r="C22" s="22" t="s">
        <v>203</v>
      </c>
      <c r="D22" s="22" t="s">
        <v>56</v>
      </c>
      <c r="E22" s="26">
        <f>'Orçamento Sintético'!G11</f>
        <v>0.84</v>
      </c>
      <c r="F22" s="22" t="s">
        <v>363</v>
      </c>
      <c r="G22" s="22" t="s">
        <v>364</v>
      </c>
    </row>
    <row r="23" spans="1:7" s="17" customFormat="1">
      <c r="A23" s="15" t="s">
        <v>204</v>
      </c>
      <c r="B23" s="15" t="s">
        <v>205</v>
      </c>
      <c r="C23" s="22" t="s">
        <v>206</v>
      </c>
      <c r="D23" s="22" t="s">
        <v>69</v>
      </c>
      <c r="E23" s="26">
        <v>19.739999999999998</v>
      </c>
      <c r="F23" s="22" t="s">
        <v>207</v>
      </c>
      <c r="G23" s="22" t="s">
        <v>208</v>
      </c>
    </row>
    <row r="24" spans="1:7" s="17" customFormat="1">
      <c r="A24" s="15" t="s">
        <v>209</v>
      </c>
      <c r="B24" s="15" t="s">
        <v>210</v>
      </c>
      <c r="C24" s="22" t="s">
        <v>211</v>
      </c>
      <c r="D24" s="22" t="s">
        <v>69</v>
      </c>
      <c r="E24" s="26">
        <v>3.22</v>
      </c>
      <c r="F24" s="22" t="s">
        <v>207</v>
      </c>
      <c r="G24" s="22" t="s">
        <v>212</v>
      </c>
    </row>
    <row r="25" spans="1:7" s="17" customFormat="1" ht="28">
      <c r="A25" s="15" t="s">
        <v>213</v>
      </c>
      <c r="B25" s="15" t="s">
        <v>214</v>
      </c>
      <c r="C25" s="22" t="s">
        <v>215</v>
      </c>
      <c r="D25" s="22" t="s">
        <v>69</v>
      </c>
      <c r="E25" s="26">
        <v>17.399999999999999</v>
      </c>
      <c r="F25" s="22" t="s">
        <v>207</v>
      </c>
      <c r="G25" s="22" t="s">
        <v>216</v>
      </c>
    </row>
    <row r="26" spans="1:7" s="17" customFormat="1" ht="28">
      <c r="A26" s="15" t="s">
        <v>217</v>
      </c>
      <c r="B26" s="15" t="s">
        <v>365</v>
      </c>
      <c r="C26" s="22" t="s">
        <v>218</v>
      </c>
      <c r="D26" s="22" t="s">
        <v>69</v>
      </c>
      <c r="E26" s="26">
        <f>'Orçamento Sintético'!G12</f>
        <v>48.12</v>
      </c>
      <c r="F26" s="22" t="s">
        <v>366</v>
      </c>
      <c r="G26" s="22" t="s">
        <v>367</v>
      </c>
    </row>
    <row r="27" spans="1:7" s="17" customFormat="1">
      <c r="A27" s="15" t="s">
        <v>219</v>
      </c>
      <c r="B27" s="15" t="s">
        <v>220</v>
      </c>
      <c r="C27" s="22" t="s">
        <v>221</v>
      </c>
      <c r="D27" s="22" t="s">
        <v>56</v>
      </c>
      <c r="E27" s="26">
        <f>'Orçamento Sintético'!G9</f>
        <v>1.2</v>
      </c>
      <c r="F27" s="22" t="s">
        <v>368</v>
      </c>
      <c r="G27" s="22" t="s">
        <v>369</v>
      </c>
    </row>
    <row r="28" spans="1:7" s="17" customFormat="1" ht="28">
      <c r="A28" s="15" t="s">
        <v>222</v>
      </c>
      <c r="B28" s="15" t="s">
        <v>223</v>
      </c>
      <c r="C28" s="22" t="s">
        <v>224</v>
      </c>
      <c r="D28" s="22" t="s">
        <v>73</v>
      </c>
      <c r="E28" s="26">
        <f>'Orçamento Sintético'!G13</f>
        <v>2.88</v>
      </c>
      <c r="F28" s="22" t="s">
        <v>370</v>
      </c>
      <c r="G28" s="22" t="s">
        <v>371</v>
      </c>
    </row>
    <row r="29" spans="1:7" s="17" customFormat="1">
      <c r="A29" s="15" t="s">
        <v>225</v>
      </c>
      <c r="B29" s="15" t="s">
        <v>226</v>
      </c>
      <c r="C29" s="22" t="s">
        <v>227</v>
      </c>
      <c r="D29" s="22" t="s">
        <v>56</v>
      </c>
      <c r="E29" s="26">
        <f>'Orçamento Sintético'!G14</f>
        <v>0.76</v>
      </c>
      <c r="F29" s="22" t="s">
        <v>372</v>
      </c>
      <c r="G29" s="22" t="s">
        <v>373</v>
      </c>
    </row>
    <row r="30" spans="1:7" s="17" customFormat="1">
      <c r="A30" s="15" t="s">
        <v>228</v>
      </c>
      <c r="B30" s="15" t="s">
        <v>374</v>
      </c>
      <c r="C30" s="22" t="s">
        <v>229</v>
      </c>
      <c r="D30" s="22" t="s">
        <v>61</v>
      </c>
      <c r="E30" s="26">
        <f>'Orçamento Sintético'!G26</f>
        <v>11</v>
      </c>
      <c r="F30" s="22" t="s">
        <v>375</v>
      </c>
      <c r="G30" s="22" t="s">
        <v>376</v>
      </c>
    </row>
    <row r="31" spans="1:7" s="17" customFormat="1">
      <c r="A31" s="15" t="s">
        <v>230</v>
      </c>
      <c r="B31" s="15" t="s">
        <v>377</v>
      </c>
      <c r="C31" s="22" t="s">
        <v>231</v>
      </c>
      <c r="D31" s="22" t="s">
        <v>61</v>
      </c>
      <c r="E31" s="26">
        <f>'Orçamento Sintético'!G27</f>
        <v>26.09</v>
      </c>
      <c r="F31" s="22" t="s">
        <v>378</v>
      </c>
      <c r="G31" s="22" t="s">
        <v>379</v>
      </c>
    </row>
    <row r="32" spans="1:7" s="17" customFormat="1">
      <c r="A32" s="15" t="s">
        <v>232</v>
      </c>
      <c r="B32" s="15" t="s">
        <v>233</v>
      </c>
      <c r="C32" s="22" t="s">
        <v>234</v>
      </c>
      <c r="D32" s="22" t="s">
        <v>61</v>
      </c>
      <c r="E32" s="26">
        <v>26</v>
      </c>
      <c r="F32" s="22" t="s">
        <v>155</v>
      </c>
      <c r="G32" s="22" t="s">
        <v>235</v>
      </c>
    </row>
    <row r="33" spans="1:7" s="17" customFormat="1">
      <c r="A33" s="15" t="s">
        <v>236</v>
      </c>
      <c r="B33" s="15" t="s">
        <v>237</v>
      </c>
      <c r="C33" s="22" t="s">
        <v>238</v>
      </c>
      <c r="D33" s="22" t="s">
        <v>61</v>
      </c>
      <c r="E33" s="26">
        <v>0.9</v>
      </c>
      <c r="F33" s="22" t="s">
        <v>239</v>
      </c>
      <c r="G33" s="22" t="s">
        <v>240</v>
      </c>
    </row>
    <row r="34" spans="1:7" s="17" customFormat="1">
      <c r="A34" s="15" t="s">
        <v>241</v>
      </c>
      <c r="B34" s="15" t="s">
        <v>242</v>
      </c>
      <c r="C34" s="22" t="s">
        <v>243</v>
      </c>
      <c r="D34" s="22" t="s">
        <v>73</v>
      </c>
      <c r="E34" s="26">
        <v>23.4</v>
      </c>
      <c r="F34" s="22" t="s">
        <v>164</v>
      </c>
      <c r="G34" s="22" t="s">
        <v>244</v>
      </c>
    </row>
    <row r="35" spans="1:7" s="17" customFormat="1">
      <c r="A35" s="15" t="s">
        <v>245</v>
      </c>
      <c r="B35" s="15" t="s">
        <v>380</v>
      </c>
      <c r="C35" s="22" t="s">
        <v>381</v>
      </c>
      <c r="D35" s="22" t="s">
        <v>73</v>
      </c>
      <c r="E35" s="26">
        <f>'Orçamento Sintético'!G28</f>
        <v>28</v>
      </c>
      <c r="F35" s="22" t="s">
        <v>382</v>
      </c>
      <c r="G35" s="22" t="s">
        <v>383</v>
      </c>
    </row>
    <row r="36" spans="1:7" s="17" customFormat="1">
      <c r="A36" s="15" t="s">
        <v>246</v>
      </c>
      <c r="B36" s="15" t="s">
        <v>384</v>
      </c>
      <c r="C36" s="22" t="s">
        <v>352</v>
      </c>
      <c r="D36" s="22" t="s">
        <v>69</v>
      </c>
      <c r="E36" s="26">
        <f>'Orçamento Sintético'!G19</f>
        <v>20</v>
      </c>
      <c r="F36" s="22" t="s">
        <v>385</v>
      </c>
      <c r="G36" s="22" t="s">
        <v>386</v>
      </c>
    </row>
    <row r="37" spans="1:7" s="17" customFormat="1">
      <c r="A37" s="15" t="s">
        <v>247</v>
      </c>
      <c r="B37" s="15" t="s">
        <v>387</v>
      </c>
      <c r="C37" s="22" t="s">
        <v>352</v>
      </c>
      <c r="D37" s="22" t="s">
        <v>84</v>
      </c>
      <c r="E37" s="26">
        <f>'Orçamento Sintético'!G20</f>
        <v>20</v>
      </c>
      <c r="F37" s="22" t="s">
        <v>388</v>
      </c>
      <c r="G37" s="22" t="s">
        <v>389</v>
      </c>
    </row>
    <row r="38" spans="1:7" s="17" customFormat="1">
      <c r="A38" s="15" t="s">
        <v>390</v>
      </c>
      <c r="B38" s="15" t="s">
        <v>391</v>
      </c>
      <c r="C38" s="22" t="s">
        <v>249</v>
      </c>
      <c r="D38" s="22" t="s">
        <v>61</v>
      </c>
      <c r="E38" s="26">
        <f>'Orçamento Sintético'!G31</f>
        <v>9</v>
      </c>
      <c r="F38" s="22" t="s">
        <v>392</v>
      </c>
      <c r="G38" s="22" t="s">
        <v>393</v>
      </c>
    </row>
    <row r="39" spans="1:7" s="17" customFormat="1" ht="28">
      <c r="A39" s="15" t="s">
        <v>248</v>
      </c>
      <c r="B39" s="15" t="s">
        <v>394</v>
      </c>
      <c r="C39" s="22" t="s">
        <v>251</v>
      </c>
      <c r="D39" s="22" t="s">
        <v>61</v>
      </c>
      <c r="E39" s="26">
        <f>'Orçamento Sintético'!G35</f>
        <v>30</v>
      </c>
      <c r="F39" s="22" t="s">
        <v>395</v>
      </c>
      <c r="G39" s="22" t="s">
        <v>396</v>
      </c>
    </row>
    <row r="40" spans="1:7" s="17" customFormat="1">
      <c r="A40" s="15" t="s">
        <v>250</v>
      </c>
      <c r="B40" s="15" t="s">
        <v>397</v>
      </c>
      <c r="C40" s="22" t="s">
        <v>253</v>
      </c>
      <c r="D40" s="22" t="s">
        <v>61</v>
      </c>
      <c r="E40" s="26">
        <f>'Orçamento Sintético'!G37</f>
        <v>50</v>
      </c>
      <c r="F40" s="22" t="s">
        <v>398</v>
      </c>
      <c r="G40" s="22" t="s">
        <v>399</v>
      </c>
    </row>
    <row r="41" spans="1:7" s="17" customFormat="1">
      <c r="A41" s="15" t="s">
        <v>252</v>
      </c>
      <c r="B41" s="15" t="s">
        <v>400</v>
      </c>
      <c r="C41" s="22" t="s">
        <v>253</v>
      </c>
      <c r="D41" s="22" t="s">
        <v>61</v>
      </c>
      <c r="E41" s="26">
        <f>'Orçamento Sintético'!G38</f>
        <v>50</v>
      </c>
      <c r="F41" s="22" t="s">
        <v>401</v>
      </c>
      <c r="G41" s="22" t="s">
        <v>402</v>
      </c>
    </row>
    <row r="42" spans="1:7" s="17" customFormat="1">
      <c r="A42" s="15" t="s">
        <v>254</v>
      </c>
      <c r="B42" s="15" t="s">
        <v>403</v>
      </c>
      <c r="C42" s="22" t="s">
        <v>253</v>
      </c>
      <c r="D42" s="22" t="s">
        <v>61</v>
      </c>
      <c r="E42" s="26">
        <f>'Orçamento Sintético'!G39</f>
        <v>50</v>
      </c>
      <c r="F42" s="22" t="s">
        <v>404</v>
      </c>
      <c r="G42" s="22" t="s">
        <v>405</v>
      </c>
    </row>
    <row r="43" spans="1:7" s="17" customFormat="1">
      <c r="A43" s="15" t="s">
        <v>255</v>
      </c>
      <c r="B43" s="15" t="s">
        <v>406</v>
      </c>
      <c r="C43" s="22" t="s">
        <v>352</v>
      </c>
      <c r="D43" s="22" t="s">
        <v>84</v>
      </c>
      <c r="E43" s="26">
        <f>'Orçamento Sintético'!G40</f>
        <v>4</v>
      </c>
      <c r="F43" s="22" t="s">
        <v>407</v>
      </c>
      <c r="G43" s="22" t="s">
        <v>408</v>
      </c>
    </row>
    <row r="44" spans="1:7" s="17" customFormat="1">
      <c r="A44" s="15" t="s">
        <v>256</v>
      </c>
      <c r="B44" s="15" t="s">
        <v>409</v>
      </c>
      <c r="C44" s="22" t="s">
        <v>258</v>
      </c>
      <c r="D44" s="22" t="s">
        <v>84</v>
      </c>
      <c r="E44" s="26">
        <f>'Orçamento Sintético'!G41</f>
        <v>1</v>
      </c>
      <c r="F44" s="22" t="s">
        <v>410</v>
      </c>
      <c r="G44" s="22" t="s">
        <v>411</v>
      </c>
    </row>
    <row r="45" spans="1:7" s="17" customFormat="1">
      <c r="A45" s="15" t="s">
        <v>257</v>
      </c>
      <c r="B45" s="15" t="s">
        <v>412</v>
      </c>
      <c r="C45" s="22" t="s">
        <v>352</v>
      </c>
      <c r="D45" s="22" t="s">
        <v>73</v>
      </c>
      <c r="E45" s="26">
        <v>82.97</v>
      </c>
      <c r="F45" s="22" t="s">
        <v>413</v>
      </c>
      <c r="G45" s="22" t="s">
        <v>414</v>
      </c>
    </row>
    <row r="46" spans="1:7" s="17" customFormat="1">
      <c r="A46" s="15" t="s">
        <v>259</v>
      </c>
      <c r="B46" s="15" t="s">
        <v>415</v>
      </c>
      <c r="C46" s="22" t="s">
        <v>352</v>
      </c>
      <c r="D46" s="22" t="s">
        <v>61</v>
      </c>
      <c r="E46" s="26">
        <f>'Orçamento Sintético'!G10</f>
        <v>8</v>
      </c>
      <c r="F46" s="22" t="s">
        <v>416</v>
      </c>
      <c r="G46" s="22" t="s">
        <v>417</v>
      </c>
    </row>
    <row r="47" spans="1:7" s="17" customFormat="1">
      <c r="A47" s="15" t="s">
        <v>418</v>
      </c>
      <c r="B47" s="15" t="s">
        <v>419</v>
      </c>
      <c r="C47" s="22" t="s">
        <v>352</v>
      </c>
      <c r="D47" s="22" t="s">
        <v>69</v>
      </c>
      <c r="E47" s="26">
        <f>'Orçamento Sintético'!G17</f>
        <v>60</v>
      </c>
      <c r="F47" s="22" t="s">
        <v>420</v>
      </c>
      <c r="G47" s="22" t="s">
        <v>421</v>
      </c>
    </row>
    <row r="48" spans="1:7" s="17" customFormat="1">
      <c r="A48" s="15" t="s">
        <v>422</v>
      </c>
      <c r="B48" s="15" t="s">
        <v>423</v>
      </c>
      <c r="C48" s="22" t="s">
        <v>352</v>
      </c>
      <c r="D48" s="22" t="s">
        <v>84</v>
      </c>
      <c r="E48" s="26">
        <f>'Orçamento Sintético'!G21</f>
        <v>15</v>
      </c>
      <c r="F48" s="22" t="s">
        <v>424</v>
      </c>
      <c r="G48" s="22" t="s">
        <v>425</v>
      </c>
    </row>
    <row r="49" spans="1:7" s="17" customFormat="1">
      <c r="A49" s="15" t="s">
        <v>426</v>
      </c>
      <c r="B49" s="15" t="s">
        <v>427</v>
      </c>
      <c r="C49" s="22" t="s">
        <v>352</v>
      </c>
      <c r="D49" s="22" t="s">
        <v>69</v>
      </c>
      <c r="E49" s="26">
        <f>'Orçamento Sintético'!G22</f>
        <v>1016.5</v>
      </c>
      <c r="F49" s="22" t="s">
        <v>428</v>
      </c>
      <c r="G49" s="22" t="s">
        <v>429</v>
      </c>
    </row>
    <row r="50" spans="1:7" s="17" customFormat="1">
      <c r="A50" s="15" t="s">
        <v>430</v>
      </c>
      <c r="B50" s="15" t="s">
        <v>431</v>
      </c>
      <c r="C50" s="22" t="s">
        <v>352</v>
      </c>
      <c r="D50" s="22" t="s">
        <v>84</v>
      </c>
      <c r="E50" s="26">
        <f>'Orçamento Sintético'!G25</f>
        <v>450</v>
      </c>
      <c r="F50" s="22" t="s">
        <v>432</v>
      </c>
      <c r="G50" s="22" t="s">
        <v>433</v>
      </c>
    </row>
    <row r="51" spans="1:7" s="17" customFormat="1">
      <c r="A51" s="15" t="s">
        <v>434</v>
      </c>
      <c r="B51" s="15" t="s">
        <v>435</v>
      </c>
      <c r="C51" s="22" t="s">
        <v>352</v>
      </c>
      <c r="D51" s="22" t="s">
        <v>103</v>
      </c>
      <c r="E51" s="26">
        <f>'Orçamento Sintético'!G29</f>
        <v>1</v>
      </c>
      <c r="F51" s="22" t="s">
        <v>436</v>
      </c>
      <c r="G51" s="22" t="s">
        <v>437</v>
      </c>
    </row>
    <row r="52" spans="1:7" s="17" customFormat="1">
      <c r="A52" s="15" t="s">
        <v>438</v>
      </c>
      <c r="B52" s="15" t="s">
        <v>439</v>
      </c>
      <c r="C52" s="22" t="s">
        <v>352</v>
      </c>
      <c r="D52" s="22" t="s">
        <v>84</v>
      </c>
      <c r="E52" s="26">
        <f>'Orçamento Sintético'!G32</f>
        <v>4</v>
      </c>
      <c r="F52" s="22" t="s">
        <v>440</v>
      </c>
      <c r="G52" s="22" t="s">
        <v>441</v>
      </c>
    </row>
    <row r="53" spans="1:7" s="17" customFormat="1">
      <c r="A53" s="15" t="s">
        <v>442</v>
      </c>
      <c r="B53" s="15" t="s">
        <v>443</v>
      </c>
      <c r="C53" s="22" t="s">
        <v>352</v>
      </c>
      <c r="D53" s="22" t="s">
        <v>110</v>
      </c>
      <c r="E53" s="26">
        <f>'Orçamento Sintético'!G33</f>
        <v>2</v>
      </c>
      <c r="F53" s="22" t="s">
        <v>444</v>
      </c>
      <c r="G53" s="22" t="s">
        <v>445</v>
      </c>
    </row>
    <row r="54" spans="1:7" s="17" customFormat="1">
      <c r="A54" s="15" t="s">
        <v>446</v>
      </c>
      <c r="B54" s="15" t="s">
        <v>447</v>
      </c>
      <c r="C54" s="22" t="s">
        <v>352</v>
      </c>
      <c r="D54" s="22" t="s">
        <v>84</v>
      </c>
      <c r="E54" s="26">
        <f>'Orçamento Sintético'!G36</f>
        <v>6</v>
      </c>
      <c r="F54" s="22" t="s">
        <v>448</v>
      </c>
      <c r="G54" s="22" t="s">
        <v>449</v>
      </c>
    </row>
    <row r="55" spans="1:7" s="17" customFormat="1">
      <c r="A55" s="15" t="s">
        <v>450</v>
      </c>
      <c r="B55" s="15" t="s">
        <v>451</v>
      </c>
      <c r="C55" s="22" t="s">
        <v>352</v>
      </c>
      <c r="D55" s="22" t="s">
        <v>73</v>
      </c>
      <c r="E55" s="26">
        <f>'Orçamento Sintético'!G44</f>
        <v>82.97</v>
      </c>
      <c r="F55" s="22" t="s">
        <v>452</v>
      </c>
      <c r="G55" s="22" t="s">
        <v>453</v>
      </c>
    </row>
    <row r="56" spans="1:7" s="17" customFormat="1">
      <c r="A56" s="15" t="s">
        <v>454</v>
      </c>
      <c r="B56" s="15" t="s">
        <v>455</v>
      </c>
      <c r="C56" s="22" t="s">
        <v>352</v>
      </c>
      <c r="D56" s="22" t="s">
        <v>73</v>
      </c>
      <c r="E56" s="26">
        <f>'Orçamento Sintético'!G45</f>
        <v>82.97</v>
      </c>
      <c r="F56" s="22" t="s">
        <v>456</v>
      </c>
      <c r="G56" s="22" t="s">
        <v>457</v>
      </c>
    </row>
    <row r="57" spans="1:7" s="17" customFormat="1">
      <c r="A57" s="15" t="s">
        <v>458</v>
      </c>
      <c r="B57" s="15" t="s">
        <v>459</v>
      </c>
      <c r="C57" s="22" t="s">
        <v>352</v>
      </c>
      <c r="D57" s="22" t="s">
        <v>73</v>
      </c>
      <c r="E57" s="26">
        <f>'Orçamento Sintético'!G46</f>
        <v>82.97</v>
      </c>
      <c r="F57" s="22" t="s">
        <v>460</v>
      </c>
      <c r="G57" s="22" t="s">
        <v>461</v>
      </c>
    </row>
    <row r="58" spans="1:7" s="17" customFormat="1">
      <c r="A58" s="15" t="s">
        <v>462</v>
      </c>
      <c r="B58" s="15" t="s">
        <v>463</v>
      </c>
      <c r="C58" s="22" t="s">
        <v>352</v>
      </c>
      <c r="D58" s="22" t="s">
        <v>73</v>
      </c>
      <c r="E58" s="26">
        <f>'Orçamento Sintético'!G48</f>
        <v>82.97</v>
      </c>
      <c r="F58" s="22" t="s">
        <v>464</v>
      </c>
      <c r="G58" s="22" t="s">
        <v>465</v>
      </c>
    </row>
    <row r="63" spans="1:7" ht="15.5">
      <c r="B63" s="58" t="s">
        <v>471</v>
      </c>
      <c r="C63" s="58"/>
    </row>
    <row r="64" spans="1:7" ht="16.75" customHeight="1"/>
    <row r="66" spans="3:4">
      <c r="C66" s="56" t="s">
        <v>468</v>
      </c>
      <c r="D66" s="56"/>
    </row>
    <row r="67" spans="3:4">
      <c r="C67" s="57" t="s">
        <v>469</v>
      </c>
      <c r="D67" s="57"/>
    </row>
    <row r="68" spans="3:4">
      <c r="C68" s="57" t="s">
        <v>470</v>
      </c>
      <c r="D68" s="57"/>
    </row>
  </sheetData>
  <mergeCells count="5">
    <mergeCell ref="A3:G3"/>
    <mergeCell ref="C66:D66"/>
    <mergeCell ref="C67:D67"/>
    <mergeCell ref="C68:D68"/>
    <mergeCell ref="B63:C63"/>
  </mergeCells>
  <pageMargins left="0.70866141732283472" right="0.70866141732283472" top="0.35433070866141736" bottom="0.35433070866141736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F3" sqref="F3"/>
    </sheetView>
  </sheetViews>
  <sheetFormatPr defaultRowHeight="14"/>
  <sheetData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AEEF"/>
    <pageSetUpPr fitToPage="1"/>
  </sheetPr>
  <dimension ref="A1:D22"/>
  <sheetViews>
    <sheetView showGridLines="0" tabSelected="1" view="pageBreakPreview" topLeftCell="A2" zoomScaleNormal="100" zoomScaleSheetLayoutView="100" workbookViewId="0">
      <selection activeCell="H19" sqref="H19"/>
    </sheetView>
  </sheetViews>
  <sheetFormatPr defaultRowHeight="14"/>
  <cols>
    <col min="1" max="1" width="34" customWidth="1"/>
    <col min="2" max="2" width="18" customWidth="1"/>
    <col min="3" max="3" width="16" customWidth="1"/>
  </cols>
  <sheetData>
    <row r="1" spans="1:4" ht="112.25" customHeight="1">
      <c r="A1" s="4"/>
      <c r="B1" s="4"/>
      <c r="C1" s="4"/>
      <c r="D1" s="4"/>
    </row>
    <row r="2" spans="1:4" ht="19">
      <c r="A2" s="50" t="s">
        <v>260</v>
      </c>
      <c r="B2" s="51"/>
      <c r="C2" s="51"/>
      <c r="D2" s="51"/>
    </row>
    <row r="3" spans="1:4" ht="14.5" thickBot="1">
      <c r="A3" s="5"/>
      <c r="B3" s="5"/>
      <c r="C3" s="5"/>
      <c r="D3" s="5"/>
    </row>
    <row r="4" spans="1:4" s="17" customFormat="1">
      <c r="A4" s="15"/>
      <c r="B4" s="15"/>
      <c r="C4" s="15"/>
      <c r="D4" s="15"/>
    </row>
    <row r="5" spans="1:4" s="17" customFormat="1">
      <c r="A5" s="52" t="s">
        <v>276</v>
      </c>
      <c r="B5" s="52"/>
      <c r="C5" s="52"/>
      <c r="D5" s="52"/>
    </row>
    <row r="6" spans="1:4" s="17" customFormat="1" ht="42" customHeight="1">
      <c r="A6" s="53" t="s">
        <v>486</v>
      </c>
      <c r="B6" s="54"/>
      <c r="C6" s="54"/>
      <c r="D6" s="54"/>
    </row>
    <row r="7" spans="1:4" s="17" customFormat="1">
      <c r="A7" s="15" t="s">
        <v>277</v>
      </c>
      <c r="B7" s="15" t="s">
        <v>278</v>
      </c>
      <c r="C7" s="15"/>
      <c r="D7" s="15"/>
    </row>
    <row r="8" spans="1:4" s="17" customFormat="1">
      <c r="A8" s="15" t="s">
        <v>15</v>
      </c>
      <c r="B8" s="15" t="s">
        <v>16</v>
      </c>
      <c r="C8" s="15"/>
      <c r="D8" s="15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  <row r="12" spans="1:4" ht="27" customHeight="1">
      <c r="A12" s="50" t="s">
        <v>477</v>
      </c>
      <c r="B12" s="55"/>
      <c r="C12" s="55"/>
    </row>
    <row r="13" spans="1:4" ht="27" customHeight="1">
      <c r="A13" s="1" t="s">
        <v>478</v>
      </c>
      <c r="B13" s="2" t="s">
        <v>479</v>
      </c>
      <c r="C13" s="3" t="s">
        <v>480</v>
      </c>
    </row>
    <row r="14" spans="1:4" ht="23" customHeight="1">
      <c r="A14" s="15" t="s">
        <v>263</v>
      </c>
      <c r="B14" s="27">
        <v>4.5100000000000001E-2</v>
      </c>
      <c r="C14" s="16">
        <v>4297.79</v>
      </c>
      <c r="D14" s="49"/>
    </row>
    <row r="15" spans="1:4" ht="23" customHeight="1">
      <c r="A15" s="15" t="s">
        <v>265</v>
      </c>
      <c r="B15" s="27">
        <v>8.0000000000000002E-3</v>
      </c>
      <c r="C15" s="16">
        <v>760.91</v>
      </c>
    </row>
    <row r="16" spans="1:4" ht="23" customHeight="1">
      <c r="A16" s="15" t="s">
        <v>267</v>
      </c>
      <c r="B16" s="27">
        <v>9.7000000000000003E-3</v>
      </c>
      <c r="C16" s="16">
        <v>922.6</v>
      </c>
    </row>
    <row r="17" spans="1:3" ht="23" customHeight="1">
      <c r="A17" s="15" t="s">
        <v>269</v>
      </c>
      <c r="B17" s="27">
        <v>1.06E-2</v>
      </c>
      <c r="C17" s="16">
        <v>1010.87</v>
      </c>
    </row>
    <row r="18" spans="1:3" ht="23" customHeight="1">
      <c r="A18" s="15" t="s">
        <v>271</v>
      </c>
      <c r="B18" s="27">
        <v>8.09E-2</v>
      </c>
      <c r="C18" s="16">
        <v>7699.15</v>
      </c>
    </row>
    <row r="19" spans="1:3" ht="23" customHeight="1" thickBot="1">
      <c r="A19" s="15" t="s">
        <v>481</v>
      </c>
      <c r="B19" s="27">
        <v>9.5699999999999993E-2</v>
      </c>
      <c r="C19" s="16">
        <v>9095.2099999999991</v>
      </c>
    </row>
    <row r="20" spans="1:3" ht="23" customHeight="1" thickBot="1">
      <c r="A20" s="18" t="s">
        <v>482</v>
      </c>
      <c r="B20" s="46">
        <f>ROUND(SUM(B14:B19),4)</f>
        <v>0.25</v>
      </c>
      <c r="C20" s="13">
        <f>(SUM(C14:C19))</f>
        <v>23786.53</v>
      </c>
    </row>
    <row r="21" spans="1:3" ht="23" customHeight="1">
      <c r="A21" s="15" t="s">
        <v>483</v>
      </c>
      <c r="C21" s="16">
        <f>'Orçamento Sintético'!$I$50</f>
        <v>95113.44</v>
      </c>
    </row>
    <row r="22" spans="1:3">
      <c r="C22" s="48"/>
    </row>
  </sheetData>
  <mergeCells count="4">
    <mergeCell ref="A2:D2"/>
    <mergeCell ref="A5:D5"/>
    <mergeCell ref="A6:D6"/>
    <mergeCell ref="A12:C12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AEEF"/>
    <pageSetUpPr fitToPage="1"/>
  </sheetPr>
  <dimension ref="A1:D32"/>
  <sheetViews>
    <sheetView showGridLines="0" topLeftCell="A13" workbookViewId="0">
      <selection activeCell="C31" sqref="C31"/>
    </sheetView>
  </sheetViews>
  <sheetFormatPr defaultColWidth="8.83203125" defaultRowHeight="14"/>
  <cols>
    <col min="1" max="1" width="34" customWidth="1"/>
    <col min="2" max="2" width="18" customWidth="1"/>
    <col min="3" max="3" width="16" customWidth="1"/>
  </cols>
  <sheetData>
    <row r="1" spans="1:4">
      <c r="A1" s="4"/>
      <c r="B1" s="4"/>
      <c r="C1" s="4"/>
      <c r="D1" s="4"/>
    </row>
    <row r="2" spans="1:4" ht="19">
      <c r="A2" s="50" t="s">
        <v>260</v>
      </c>
      <c r="B2" s="51"/>
      <c r="C2" s="51"/>
      <c r="D2" s="51"/>
    </row>
    <row r="3" spans="1:4" ht="14.5" thickBot="1">
      <c r="A3" s="5"/>
      <c r="B3" s="5"/>
      <c r="C3" s="5"/>
      <c r="D3" s="5"/>
    </row>
    <row r="4" spans="1:4">
      <c r="A4" s="4"/>
      <c r="B4" s="4"/>
      <c r="C4" s="4"/>
      <c r="D4" s="4"/>
    </row>
    <row r="5" spans="1:4" ht="26">
      <c r="A5" s="1" t="s">
        <v>261</v>
      </c>
      <c r="B5" s="2" t="s">
        <v>262</v>
      </c>
      <c r="C5" s="3" t="s">
        <v>476</v>
      </c>
      <c r="D5" s="4"/>
    </row>
    <row r="6" spans="1:4" s="17" customFormat="1">
      <c r="A6" s="15" t="s">
        <v>263</v>
      </c>
      <c r="B6" s="15" t="s">
        <v>264</v>
      </c>
      <c r="C6" s="27">
        <v>4.5100000000000001E-2</v>
      </c>
      <c r="D6" s="15"/>
    </row>
    <row r="7" spans="1:4" s="17" customFormat="1">
      <c r="A7" s="15" t="s">
        <v>265</v>
      </c>
      <c r="B7" s="15" t="s">
        <v>266</v>
      </c>
      <c r="C7" s="27">
        <v>8.0000000000000002E-3</v>
      </c>
      <c r="D7" s="15"/>
    </row>
    <row r="8" spans="1:4" s="17" customFormat="1">
      <c r="A8" s="15" t="s">
        <v>267</v>
      </c>
      <c r="B8" s="15" t="s">
        <v>268</v>
      </c>
      <c r="C8" s="27">
        <v>9.7000000000000003E-3</v>
      </c>
      <c r="D8" s="15"/>
    </row>
    <row r="9" spans="1:4" s="17" customFormat="1">
      <c r="A9" s="15" t="s">
        <v>269</v>
      </c>
      <c r="B9" s="15" t="s">
        <v>270</v>
      </c>
      <c r="C9" s="27">
        <v>0.01</v>
      </c>
      <c r="D9" s="15"/>
    </row>
    <row r="10" spans="1:4" s="17" customFormat="1">
      <c r="A10" s="15" t="s">
        <v>271</v>
      </c>
      <c r="B10" s="15" t="s">
        <v>272</v>
      </c>
      <c r="C10" s="27">
        <f>(1+'Orçamento Sintético'!$K$5)*(1-C11)/((1+C6+C7+C8)*(1+C9))-1</f>
        <v>7.5409808575889414E-2</v>
      </c>
      <c r="D10" s="15"/>
    </row>
    <row r="11" spans="1:4" s="17" customFormat="1">
      <c r="A11" s="15" t="s">
        <v>273</v>
      </c>
      <c r="B11" s="15" t="s">
        <v>274</v>
      </c>
      <c r="C11" s="27">
        <v>7.6499999999999999E-2</v>
      </c>
      <c r="D11" s="15"/>
    </row>
    <row r="12" spans="1:4" s="17" customFormat="1" ht="14.5" thickBot="1">
      <c r="A12" s="15"/>
      <c r="B12" s="15"/>
      <c r="C12" s="15"/>
      <c r="D12" s="15"/>
    </row>
    <row r="13" spans="1:4" s="17" customFormat="1" ht="14.5" thickBot="1">
      <c r="A13" s="18" t="s">
        <v>275</v>
      </c>
      <c r="B13" s="46">
        <f>ROUND((1+C6+C7+C8)*(1+C9)*(1+C10)/(1-C11)-1,4)</f>
        <v>0.25</v>
      </c>
      <c r="C13" s="15"/>
      <c r="D13" s="15"/>
    </row>
    <row r="14" spans="1:4" s="17" customFormat="1">
      <c r="A14" s="15"/>
      <c r="B14" s="15"/>
      <c r="C14" s="15"/>
      <c r="D14" s="15"/>
    </row>
    <row r="15" spans="1:4" s="17" customFormat="1">
      <c r="A15" s="52" t="s">
        <v>276</v>
      </c>
      <c r="B15" s="52"/>
      <c r="C15" s="52"/>
      <c r="D15" s="52"/>
    </row>
    <row r="16" spans="1:4" s="17" customFormat="1" ht="42" customHeight="1">
      <c r="A16" s="53" t="s">
        <v>466</v>
      </c>
      <c r="B16" s="54"/>
      <c r="C16" s="54"/>
      <c r="D16" s="54"/>
    </row>
    <row r="17" spans="1:4" s="17" customFormat="1">
      <c r="A17" s="15" t="s">
        <v>277</v>
      </c>
      <c r="B17" s="15" t="s">
        <v>278</v>
      </c>
      <c r="C17" s="15"/>
      <c r="D17" s="15"/>
    </row>
    <row r="18" spans="1:4" s="17" customFormat="1">
      <c r="A18" s="15" t="s">
        <v>15</v>
      </c>
      <c r="B18" s="15" t="s">
        <v>16</v>
      </c>
      <c r="C18" s="15"/>
      <c r="D18" s="15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2" spans="1:4" ht="27" customHeight="1">
      <c r="A22" s="50" t="s">
        <v>477</v>
      </c>
      <c r="B22" s="55"/>
      <c r="C22" s="55"/>
    </row>
    <row r="23" spans="1:4" ht="27" customHeight="1">
      <c r="A23" s="1" t="s">
        <v>478</v>
      </c>
      <c r="B23" s="2" t="s">
        <v>479</v>
      </c>
      <c r="C23" s="3" t="s">
        <v>480</v>
      </c>
    </row>
    <row r="24" spans="1:4" ht="23" customHeight="1">
      <c r="A24" s="15" t="s">
        <v>263</v>
      </c>
      <c r="B24" s="27">
        <f>ROUND(C6,4)</f>
        <v>4.5100000000000001E-2</v>
      </c>
      <c r="C24" s="16">
        <f>ROUND('Orçamento Sintético'!$I$50*C6,2)</f>
        <v>4289.62</v>
      </c>
    </row>
    <row r="25" spans="1:4" ht="23" customHeight="1">
      <c r="A25" s="15" t="s">
        <v>265</v>
      </c>
      <c r="B25" s="27">
        <f>ROUND(C7,4)</f>
        <v>8.0000000000000002E-3</v>
      </c>
      <c r="C25" s="16">
        <f>ROUND('Orçamento Sintético'!$I$50*C7,2)</f>
        <v>760.91</v>
      </c>
    </row>
    <row r="26" spans="1:4" ht="23" customHeight="1">
      <c r="A26" s="15" t="s">
        <v>267</v>
      </c>
      <c r="B26" s="27">
        <f>ROUND(C8,4)</f>
        <v>9.7000000000000003E-3</v>
      </c>
      <c r="C26" s="16">
        <f>ROUND('Orçamento Sintético'!$I$50*C8,2)</f>
        <v>922.6</v>
      </c>
    </row>
    <row r="27" spans="1:4" ht="23" customHeight="1">
      <c r="A27" s="15" t="s">
        <v>269</v>
      </c>
      <c r="B27" s="27">
        <f>ROUND((1+C6+C7+C8)*C9,4)</f>
        <v>1.06E-2</v>
      </c>
      <c r="C27" s="16">
        <f>ROUND('Orçamento Sintético'!$I$50*(1+C6+C7+C8)*C9,2)</f>
        <v>1010.87</v>
      </c>
    </row>
    <row r="28" spans="1:4" ht="23" customHeight="1">
      <c r="A28" s="15" t="s">
        <v>271</v>
      </c>
      <c r="B28" s="27">
        <f>ROUND((1+C6+C7+C8)*(1+C9)*C10,4)</f>
        <v>8.09E-2</v>
      </c>
      <c r="C28" s="16">
        <f>ROUND('Orçamento Sintético'!$I$50*(1+C6+C7+C8)*(1+C9)*C10,2)</f>
        <v>7699.15</v>
      </c>
    </row>
    <row r="29" spans="1:4" ht="23" customHeight="1" thickBot="1">
      <c r="A29" s="15" t="s">
        <v>481</v>
      </c>
      <c r="B29" s="27">
        <f>ROUND(B13-SUM(B24:B28),4)</f>
        <v>9.5699999999999993E-2</v>
      </c>
      <c r="C29" s="16">
        <f>ROUND('Orçamento Sintético'!$I$50*$B$13-SUM(C24:C28),2)</f>
        <v>9095.2099999999991</v>
      </c>
    </row>
    <row r="30" spans="1:4" ht="23" customHeight="1" thickBot="1">
      <c r="A30" s="18" t="s">
        <v>482</v>
      </c>
      <c r="B30" s="46">
        <f>ROUND(SUM(B24:B29),4)</f>
        <v>0.25</v>
      </c>
      <c r="C30" s="13">
        <f>(SUM(C24:C29))</f>
        <v>23778.36</v>
      </c>
    </row>
    <row r="31" spans="1:4" ht="23" customHeight="1">
      <c r="A31" s="15" t="s">
        <v>483</v>
      </c>
      <c r="C31" s="16">
        <f>'Orçamento Sintético'!$I$50</f>
        <v>95113.44</v>
      </c>
    </row>
    <row r="32" spans="1:4">
      <c r="C32" s="48">
        <f>SUM(C30:C31)</f>
        <v>118891.8</v>
      </c>
    </row>
  </sheetData>
  <mergeCells count="4">
    <mergeCell ref="A2:D2"/>
    <mergeCell ref="A15:D15"/>
    <mergeCell ref="A16:D16"/>
    <mergeCell ref="A22:C22"/>
  </mergeCells>
  <pageMargins left="0.70866141732283472" right="0.70866141732283472" top="0.74803149606299213" bottom="0.74803149606299213" header="0.31496062992125984" footer="0.31496062992125984"/>
  <pageSetup paperSize="9" scale="84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6A6A6"/>
  </sheetPr>
  <dimension ref="A2:F88"/>
  <sheetViews>
    <sheetView showGridLines="0" workbookViewId="0">
      <selection activeCell="A19" sqref="A19:F19"/>
    </sheetView>
  </sheetViews>
  <sheetFormatPr defaultRowHeight="14"/>
  <cols>
    <col min="1" max="1" width="16" customWidth="1"/>
    <col min="2" max="2" width="40" customWidth="1"/>
    <col min="3" max="3" width="15" customWidth="1"/>
    <col min="4" max="4" width="42" customWidth="1"/>
    <col min="5" max="5" width="22" customWidth="1"/>
    <col min="6" max="6" width="52" customWidth="1"/>
  </cols>
  <sheetData>
    <row r="2" spans="1:6" ht="19">
      <c r="A2" s="50" t="s">
        <v>283</v>
      </c>
      <c r="B2" s="51"/>
      <c r="C2" s="51"/>
      <c r="D2" s="51"/>
      <c r="E2" s="51"/>
      <c r="F2" s="51"/>
    </row>
    <row r="3" spans="1:6">
      <c r="A3" s="5"/>
      <c r="B3" s="5"/>
      <c r="C3" s="5"/>
      <c r="D3" s="5"/>
      <c r="E3" s="5"/>
      <c r="F3" s="5"/>
    </row>
    <row r="4" spans="1:6">
      <c r="A4" s="4"/>
      <c r="B4" s="4"/>
      <c r="C4" s="4"/>
      <c r="D4" s="4"/>
      <c r="E4" s="4"/>
      <c r="F4" s="4"/>
    </row>
    <row r="5" spans="1:6">
      <c r="A5" s="1" t="s">
        <v>284</v>
      </c>
      <c r="B5" s="2" t="s">
        <v>285</v>
      </c>
      <c r="C5" s="2" t="s">
        <v>286</v>
      </c>
      <c r="D5" s="2" t="s">
        <v>287</v>
      </c>
      <c r="E5" s="2" t="s">
        <v>288</v>
      </c>
      <c r="F5" s="3" t="s">
        <v>289</v>
      </c>
    </row>
    <row r="6" spans="1:6" s="17" customFormat="1">
      <c r="A6" s="15" t="s">
        <v>290</v>
      </c>
      <c r="B6" s="22" t="s">
        <v>291</v>
      </c>
      <c r="C6" s="22" t="s">
        <v>292</v>
      </c>
      <c r="D6" s="22" t="s">
        <v>293</v>
      </c>
      <c r="E6" s="22" t="s">
        <v>294</v>
      </c>
      <c r="F6" s="22" t="s">
        <v>295</v>
      </c>
    </row>
    <row r="7" spans="1:6" s="17" customFormat="1" ht="28">
      <c r="A7" s="15" t="s">
        <v>296</v>
      </c>
      <c r="B7" s="22" t="s">
        <v>297</v>
      </c>
      <c r="C7" s="22" t="s">
        <v>298</v>
      </c>
      <c r="D7" s="22" t="s">
        <v>299</v>
      </c>
      <c r="E7" s="22" t="s">
        <v>300</v>
      </c>
      <c r="F7" s="22" t="s">
        <v>301</v>
      </c>
    </row>
    <row r="8" spans="1:6" s="17" customFormat="1">
      <c r="A8" s="15" t="s">
        <v>9</v>
      </c>
      <c r="B8" s="22" t="s">
        <v>302</v>
      </c>
      <c r="C8" s="22" t="s">
        <v>298</v>
      </c>
      <c r="D8" s="22" t="s">
        <v>303</v>
      </c>
      <c r="E8" s="22" t="s">
        <v>304</v>
      </c>
      <c r="F8" s="22" t="s">
        <v>305</v>
      </c>
    </row>
    <row r="9" spans="1:6" s="17" customFormat="1">
      <c r="A9" s="15" t="s">
        <v>306</v>
      </c>
      <c r="B9" s="22" t="s">
        <v>307</v>
      </c>
      <c r="C9" s="22" t="s">
        <v>308</v>
      </c>
      <c r="D9" s="22" t="s">
        <v>309</v>
      </c>
      <c r="E9" s="22" t="s">
        <v>310</v>
      </c>
      <c r="F9" s="22" t="s">
        <v>311</v>
      </c>
    </row>
    <row r="10" spans="1:6" s="17" customFormat="1">
      <c r="A10" s="15" t="s">
        <v>306</v>
      </c>
      <c r="B10" s="22" t="s">
        <v>312</v>
      </c>
      <c r="C10" s="22" t="s">
        <v>308</v>
      </c>
      <c r="D10" s="22" t="s">
        <v>313</v>
      </c>
      <c r="E10" s="22" t="s">
        <v>314</v>
      </c>
      <c r="F10" s="22" t="s">
        <v>311</v>
      </c>
    </row>
    <row r="11" spans="1:6" s="17" customFormat="1">
      <c r="A11" s="15" t="s">
        <v>315</v>
      </c>
      <c r="B11" s="22" t="s">
        <v>316</v>
      </c>
      <c r="C11" s="22" t="s">
        <v>308</v>
      </c>
      <c r="D11" s="22" t="s">
        <v>317</v>
      </c>
      <c r="E11" s="22" t="s">
        <v>318</v>
      </c>
      <c r="F11" s="22" t="s">
        <v>319</v>
      </c>
    </row>
    <row r="12" spans="1:6" s="17" customFormat="1" ht="28">
      <c r="A12" s="15" t="s">
        <v>320</v>
      </c>
      <c r="B12" s="22" t="s">
        <v>321</v>
      </c>
      <c r="C12" s="22" t="s">
        <v>308</v>
      </c>
      <c r="D12" s="22" t="s">
        <v>322</v>
      </c>
      <c r="E12" s="22" t="s">
        <v>323</v>
      </c>
      <c r="F12" s="22" t="s">
        <v>324</v>
      </c>
    </row>
    <row r="13" spans="1:6" s="17" customFormat="1" ht="28">
      <c r="A13" s="15" t="s">
        <v>325</v>
      </c>
      <c r="B13" s="22" t="s">
        <v>326</v>
      </c>
      <c r="C13" s="22" t="s">
        <v>308</v>
      </c>
      <c r="D13" s="22" t="s">
        <v>327</v>
      </c>
      <c r="E13" s="22" t="s">
        <v>323</v>
      </c>
      <c r="F13" s="22" t="s">
        <v>350</v>
      </c>
    </row>
    <row r="14" spans="1:6" s="17" customFormat="1">
      <c r="A14" s="15"/>
      <c r="B14" s="15"/>
      <c r="C14" s="15"/>
      <c r="D14" s="15"/>
      <c r="E14" s="15"/>
      <c r="F14" s="15"/>
    </row>
    <row r="15" spans="1:6" s="17" customFormat="1">
      <c r="A15" s="15"/>
      <c r="B15" s="15"/>
      <c r="C15" s="15"/>
      <c r="D15" s="15"/>
      <c r="E15" s="15"/>
      <c r="F15" s="15"/>
    </row>
    <row r="16" spans="1:6" s="17" customFormat="1">
      <c r="A16" s="52" t="s">
        <v>328</v>
      </c>
      <c r="B16" s="52"/>
      <c r="C16" s="52"/>
      <c r="D16" s="52"/>
      <c r="E16" s="52"/>
      <c r="F16" s="52"/>
    </row>
    <row r="17" spans="1:6" s="17" customFormat="1" ht="34.25" customHeight="1">
      <c r="A17" s="53" t="s">
        <v>484</v>
      </c>
      <c r="B17" s="54"/>
      <c r="C17" s="54"/>
      <c r="D17" s="54"/>
      <c r="E17" s="54"/>
      <c r="F17" s="54"/>
    </row>
    <row r="18" spans="1:6" s="17" customFormat="1" ht="34.25" customHeight="1">
      <c r="A18" s="53" t="s">
        <v>329</v>
      </c>
      <c r="B18" s="54"/>
      <c r="C18" s="54"/>
      <c r="D18" s="54"/>
      <c r="E18" s="54"/>
      <c r="F18" s="54"/>
    </row>
    <row r="19" spans="1:6" s="17" customFormat="1" ht="34.25" customHeight="1">
      <c r="A19" s="53" t="s">
        <v>330</v>
      </c>
      <c r="B19" s="54"/>
      <c r="C19" s="54"/>
      <c r="D19" s="54"/>
      <c r="E19" s="54"/>
      <c r="F19" s="54"/>
    </row>
    <row r="20" spans="1:6" s="17" customFormat="1" ht="34.25" customHeight="1">
      <c r="A20" s="53" t="s">
        <v>331</v>
      </c>
      <c r="B20" s="54"/>
      <c r="C20" s="54"/>
      <c r="D20" s="54"/>
      <c r="E20" s="54"/>
      <c r="F20" s="54"/>
    </row>
    <row r="21" spans="1:6" s="17" customFormat="1" ht="34.25" customHeight="1">
      <c r="A21" s="53"/>
      <c r="B21" s="54"/>
      <c r="C21" s="54"/>
      <c r="D21" s="54"/>
      <c r="E21" s="54"/>
      <c r="F21" s="54"/>
    </row>
    <row r="22" spans="1:6" s="17" customFormat="1"/>
    <row r="23" spans="1:6" s="17" customFormat="1"/>
    <row r="24" spans="1:6" s="17" customFormat="1"/>
    <row r="25" spans="1:6" s="17" customFormat="1"/>
    <row r="26" spans="1:6" s="17" customFormat="1"/>
    <row r="27" spans="1:6" s="17" customFormat="1"/>
    <row r="28" spans="1:6" s="17" customFormat="1"/>
    <row r="29" spans="1:6" s="17" customFormat="1"/>
    <row r="30" spans="1:6" s="17" customFormat="1"/>
    <row r="31" spans="1:6" s="17" customFormat="1"/>
    <row r="32" spans="1:6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</sheetData>
  <mergeCells count="7">
    <mergeCell ref="A20:F20"/>
    <mergeCell ref="A21:F21"/>
    <mergeCell ref="A2:F2"/>
    <mergeCell ref="A16:F16"/>
    <mergeCell ref="A17:F17"/>
    <mergeCell ref="A18:F18"/>
    <mergeCell ref="A19:F19"/>
  </mergeCells>
  <hyperlinks>
    <hyperlink ref="F13" r:id="rId1" location="/categoria--construcao-civil-chumbadores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6</vt:i4>
      </vt:variant>
    </vt:vector>
  </HeadingPairs>
  <TitlesOfParts>
    <vt:vector size="14" baseType="lpstr">
      <vt:lpstr>Resumo</vt:lpstr>
      <vt:lpstr>Orçamento Sintético</vt:lpstr>
      <vt:lpstr>Cronograma</vt:lpstr>
      <vt:lpstr>Memória de Cálculo</vt:lpstr>
      <vt:lpstr>Planilha1</vt:lpstr>
      <vt:lpstr>BDI</vt:lpstr>
      <vt:lpstr>BDI (2)</vt:lpstr>
      <vt:lpstr>Fontes e Premissas</vt:lpstr>
      <vt:lpstr>BDI!Area_de_impressao</vt:lpstr>
      <vt:lpstr>'Memória de Cálculo'!Area_de_impressao</vt:lpstr>
      <vt:lpstr>'Orçamento Sintético'!Area_de_impressao</vt:lpstr>
      <vt:lpstr>Resumo!Area_de_impressao</vt:lpstr>
      <vt:lpstr>'Memória de Cálculo'!Titulos_de_impressao</vt:lpstr>
      <vt:lpstr>'Orçamento Sintético'!Titulos_de_impressao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2026-10-07T03:17:37Z</cp:lastPrinted>
  <dcterms:created xsi:type="dcterms:W3CDTF">2026-09-22T11:53:51Z</dcterms:created>
  <dcterms:modified xsi:type="dcterms:W3CDTF">2026-10-08T09:55:15Z</dcterms:modified>
</cp:coreProperties>
</file>